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5/4sOsmG/BggQrbLCmUHA8YRQYtauYW7ol/BJf8xuhX9h9PfzbczqAb9PmDA69lXjJ5Mh7wJoHLB5sq3nGzQ==" workbookSaltValue="NrC0L5+P+BpVbrJzMZS7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AL11" i="11"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F17" i="8"/>
  <c r="AB19" i="19"/>
  <c r="ER19" i="8"/>
  <c r="EL19" i="8"/>
  <c r="AC11" i="11"/>
  <c r="EQ19" i="8"/>
  <c r="AP12" i="11"/>
  <c r="Y11" i="11"/>
  <c r="AT18" i="17"/>
  <c r="AL10" i="11"/>
  <c r="N10" i="11"/>
  <c r="N9" i="11"/>
  <c r="T10" i="21"/>
  <c r="E15" i="6"/>
  <c r="F10" i="10"/>
  <c r="N11" i="11"/>
  <c r="ES19" i="8"/>
  <c r="S19" i="13"/>
  <c r="AG19" i="19"/>
  <c r="F9" i="11"/>
  <c r="CI19" i="8"/>
  <c r="AE19" i="8"/>
  <c r="F17" i="16"/>
  <c r="BL17" i="16" s="1"/>
  <c r="EP19" i="8"/>
  <c r="ER19" i="13"/>
  <c r="AL13" i="16"/>
  <c r="S13" i="16"/>
  <c r="H18" i="16"/>
  <c r="P13" i="16"/>
  <c r="AN13" i="20"/>
  <c r="F15" i="17"/>
  <c r="F9" i="2"/>
  <c r="M13" i="2"/>
  <c r="N13" i="2"/>
  <c r="B17" i="6"/>
  <c r="AO12" i="11"/>
  <c r="AC10" i="11"/>
  <c r="H13" i="12"/>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D17" i="8" l="1"/>
  <c r="AO16" i="11"/>
  <c r="AJ19" i="8"/>
  <c r="B16" i="6"/>
  <c r="C18" i="7"/>
  <c r="AW18" i="21"/>
  <c r="G16" i="3"/>
  <c r="H12" i="7"/>
  <c r="Z13" i="17"/>
  <c r="Z19" i="8"/>
  <c r="BG10" i="8"/>
  <c r="AO17" i="11"/>
  <c r="H12" i="2"/>
  <c r="C10" i="6"/>
  <c r="M18" i="2"/>
  <c r="N18" i="2"/>
  <c r="BE9" i="8"/>
  <c r="AY13" i="8"/>
  <c r="C11" i="6"/>
  <c r="B9" i="6"/>
  <c r="E11" i="6"/>
  <c r="L12" i="14"/>
  <c r="R8" i="9"/>
  <c r="S12" i="14" s="1"/>
  <c r="AY13" i="13"/>
  <c r="BE9" i="13"/>
  <c r="AZ13" i="13"/>
  <c r="BB13" i="13"/>
  <c r="BD15" i="8"/>
  <c r="H15" i="7" s="1"/>
  <c r="BE15" i="8"/>
  <c r="BG16" i="8"/>
  <c r="E18" i="2"/>
  <c r="F18" i="2" s="1"/>
  <c r="AL15" i="11"/>
  <c r="L16" i="14"/>
  <c r="F15" i="11"/>
  <c r="F16" i="17"/>
  <c r="F18"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W21" i="20"/>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L18" i="11"/>
  <c r="AI19" i="11"/>
  <c r="AQ16" i="17"/>
  <c r="B18" i="6"/>
  <c r="K16" i="12"/>
  <c r="D19" i="12"/>
  <c r="D19" i="5"/>
  <c r="Y13" i="11"/>
  <c r="B19" i="7"/>
  <c r="V12" i="14"/>
  <c r="V13" i="14" s="1"/>
  <c r="S13" i="14"/>
  <c r="G21" i="11"/>
  <c r="AM13" i="11"/>
  <c r="R16" i="14"/>
  <c r="BL9" i="11"/>
  <c r="V9" i="11"/>
  <c r="AZ9" i="11"/>
  <c r="X15" i="17"/>
  <c r="Q17" i="17"/>
  <c r="Q18" i="17" s="1"/>
  <c r="Q19" i="17" s="1"/>
  <c r="S17" i="17"/>
  <c r="BF11" i="11"/>
  <c r="BG10" i="11"/>
  <c r="Q10" i="11" s="1"/>
  <c r="BK12" i="11"/>
  <c r="BM12" i="11"/>
  <c r="BJ15" i="11"/>
  <c r="BJ18" i="11" s="1"/>
  <c r="R17" i="20"/>
  <c r="AZ15" i="11"/>
  <c r="AZ18" i="11" s="1"/>
  <c r="BV12" i="16"/>
  <c r="U10" i="17"/>
  <c r="AA16" i="16"/>
  <c r="T16" i="11"/>
  <c r="BI9" i="11"/>
  <c r="BH11" i="11"/>
  <c r="BH12" i="16"/>
  <c r="P17" i="17"/>
  <c r="P18" i="17" s="1"/>
  <c r="P19" i="17" s="1"/>
  <c r="BK9" i="11"/>
  <c r="BK13" i="11" s="1"/>
  <c r="AO12" i="17"/>
  <c r="X9" i="17"/>
  <c r="AP15" i="20"/>
  <c r="BV17" i="16"/>
  <c r="BV18" i="16" s="1"/>
  <c r="BV11" i="16"/>
  <c r="BV13" i="16" s="1"/>
  <c r="S11" i="17"/>
  <c r="BJ10" i="11"/>
  <c r="X12" i="17"/>
  <c r="L12" i="2"/>
  <c r="S16" i="14"/>
  <c r="V16" i="14" s="1"/>
  <c r="V10" i="21"/>
  <c r="V13" i="21" s="1"/>
  <c r="V19" i="21" s="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AZ13" i="11" l="1"/>
  <c r="AZ19" i="11"/>
  <c r="Q9" i="11"/>
  <c r="P9" i="1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<sst xmlns="http://schemas.openxmlformats.org/spreadsheetml/2006/main" count="2102" uniqueCount="917">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</sst>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uAehh+FjAX0ZEAqYhf7iw42PsgGEYnQTX5yHjqdeWz5dvoxEsuwpIT1NUeDLUPYVnxjlem2GTJhwzSTId004Q==" saltValue="xCY3HmU6r0rD1DLQHxPn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7</v>
      </c>
      <c r="F10" s="225">
        <f>IF(ISNUMBER(Datos!K10),Datos!K10," - ")</f>
        <v>5</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4.4000000000000004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4.6108422071636008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7</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350</v>
      </c>
      <c r="D16" s="224">
        <f>IF(ISNUMBER(IF(D_I="SI",Datos!I16,Datos!I16+Datos!AC16)),IF(D_I="SI",Datos!I16,Datos!I16+Datos!AC16)," - ")</f>
        <v>332</v>
      </c>
      <c r="E16" s="225">
        <f>IF(ISNUMBER(IF(D_I="SI",Datos!J16,Datos!J16+Datos!AD16)),IF(D_I="SI",Datos!J16,Datos!J16+Datos!AD16)," - ")</f>
        <v>764</v>
      </c>
      <c r="F16" s="225">
        <f>IF(ISNUMBER(IF(D_I="SI",Datos!K16,Datos!K16+Datos!AE16)),IF(D_I="SI",Datos!K16,Datos!K16+Datos!AE16)," - ")</f>
        <v>844</v>
      </c>
      <c r="G16" s="1033" t="str">
        <f>IF(Datos!E16&lt;&gt;"",Datos!E16,Datos!D16)</f>
        <v>04</v>
      </c>
      <c r="H16" s="226">
        <f>IF(ISNUMBER(IF(D_I="SI",Datos!L16,Datos!L16+Datos!AF16)),IF(D_I="SI",Datos!L16,Datos!L16+Datos!AF16)," - ")</f>
        <v>270</v>
      </c>
      <c r="I16" s="1043" t="str">
        <f>IF(ISNUMBER(Datos!AS16/Datos!BM16),Datos!AS16/Datos!BM16," - ")</f>
        <v xml:space="preserve"> - </v>
      </c>
      <c r="J16" s="1044">
        <f>IF(ISNUMBER(Datos!BY16/Datos!CN16),Datos!BY16/Datos!CN16," - ")</f>
        <v>0</v>
      </c>
      <c r="K16" s="229">
        <f t="shared" si="3"/>
        <v>-0.22857142857142856</v>
      </c>
      <c r="L16" s="1024">
        <f>IF(ISNUMBER(NºAsuntos!I16/NºAsuntos!G16),(NºAsuntos!I16/NºAsuntos!G16)*11," - ")</f>
        <v>3.5189573459715637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26</v>
      </c>
      <c r="E17" s="225">
        <f>IF(ISNUMBER(IF(D_I="SI",Datos!J17,Datos!J17+Datos!AD17)),IF(D_I="SI",Datos!J17,Datos!J17+Datos!AD17)," - ")</f>
        <v>93</v>
      </c>
      <c r="F17" s="225">
        <f>IF(ISNUMBER(IF(D_I="SI",Datos!K17,Datos!K17+Datos!AE17)),IF(D_I="SI",Datos!K17,Datos!K17+Datos!AE17)," - ")</f>
        <v>99</v>
      </c>
      <c r="G17" s="1033" t="str">
        <f>IF(Datos!E17&lt;&gt;"",Datos!E17,Datos!D17)</f>
        <v>37</v>
      </c>
      <c r="H17" s="226">
        <f>IF(ISNUMBER(IF(D_I="SI",Datos!L17,Datos!L17+Datos!AF17)),IF(D_I="SI",Datos!L17,Datos!L17+Datos!AF17)," - ")</f>
        <v>22</v>
      </c>
      <c r="I17" s="1043" t="str">
        <f>IF(ISNUMBER(Datos!AS17/Datos!BM17),Datos!AS17/Datos!BM17," - ")</f>
        <v xml:space="preserve"> - </v>
      </c>
      <c r="J17" s="1044" t="str">
        <f>IF(ISNUMBER((Datos!BY17+Datos!BZ17)/Datos!CN17),(Datos!BY17+Datos!BZ17)/Datos!CN17," - ")</f>
        <v xml:space="preserve"> - </v>
      </c>
      <c r="K17" s="229">
        <f t="shared" si="3"/>
        <v>-0.21428571428571427</v>
      </c>
      <c r="L17" s="1024">
        <f>IF(ISNUMBER(NºAsuntos!I17/NºAsuntos!G17),(NºAsuntos!I17/NºAsuntos!G17)*11," - ")</f>
        <v>2.4444444444444442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378</v>
      </c>
      <c r="D18" s="1048">
        <f>SUBTOTAL(9,D15:D17)</f>
        <v>358</v>
      </c>
      <c r="E18" s="1049">
        <f>SUBTOTAL(9,E15:E17)</f>
        <v>857</v>
      </c>
      <c r="F18" s="1049">
        <f>SUBTOTAL(9,F15:F17)</f>
        <v>943</v>
      </c>
      <c r="G18" s="1051" t="str">
        <f ca="1">INDIRECT(CONCATENATE("G",ROW()-1))</f>
        <v>37</v>
      </c>
      <c r="H18" s="1052">
        <f ca="1">SUMIF(G$14:G17,G18,H$14:H17)</f>
        <v>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378</v>
      </c>
      <c r="D19" s="1070">
        <f>SUBTOTAL(9,D9:D18)</f>
        <v>358</v>
      </c>
      <c r="E19" s="1071">
        <f>SUBTOTAL(9,E9:E18)</f>
        <v>864</v>
      </c>
      <c r="F19" s="1071">
        <f>SUBTOTAL(9,F9:F18)</f>
        <v>948</v>
      </c>
      <c r="G19" s="1072"/>
      <c r="H19" s="1073">
        <f ca="1">SUMIF(B9:B18,"TOTAL",H9:H18)</f>
        <v>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MQUnKDSZ8/B5EAOtrI9mES72pr6r4RBtXQ6Va9vqV1ryQniPBChxXbTqb3EU8vBiu2jpZASI2JAcDwUfcrwww==" saltValue="xKAQ71oIDdpF8cKaGh/dy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6bY8bXpe3c+yEKrEO5siPXuM0aY9Hy/jzeYx9Lvg5uxf9uCTFN5P3Ck91GU3aqMAmO0NjfOGY/7JYp26dJdmQ==" saltValue="xbix6Q1QniPb8wTsUMFU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7</v>
      </c>
      <c r="K10" s="180">
        <v>5</v>
      </c>
      <c r="L10" s="180">
        <v>2</v>
      </c>
      <c r="M10" s="180">
        <v>0</v>
      </c>
      <c r="N10" s="180">
        <v>3</v>
      </c>
      <c r="O10" s="180">
        <v>2</v>
      </c>
      <c r="P10" s="180">
        <v>0</v>
      </c>
      <c r="Q10" s="180">
        <v>0</v>
      </c>
      <c r="R10" s="180">
        <v>0</v>
      </c>
      <c r="S10" s="180">
        <v>0</v>
      </c>
      <c r="T10" s="180">
        <v>1</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533</v>
      </c>
      <c r="J12" s="182">
        <v>865</v>
      </c>
      <c r="K12" s="182">
        <v>972</v>
      </c>
      <c r="L12" s="182">
        <v>406</v>
      </c>
      <c r="M12" s="182">
        <v>345</v>
      </c>
      <c r="N12" s="182">
        <v>389</v>
      </c>
      <c r="O12" s="180">
        <v>451</v>
      </c>
      <c r="P12" s="182">
        <v>241</v>
      </c>
      <c r="Q12" s="182">
        <v>140</v>
      </c>
      <c r="R12" s="182">
        <v>903</v>
      </c>
      <c r="S12" s="182">
        <v>491</v>
      </c>
      <c r="T12" s="182">
        <v>908</v>
      </c>
      <c r="U12" s="182">
        <v>866</v>
      </c>
      <c r="V12" s="182">
        <v>533</v>
      </c>
      <c r="W12" s="182">
        <v>294</v>
      </c>
      <c r="X12" s="188">
        <v>344</v>
      </c>
      <c r="Y12" s="190">
        <v>10</v>
      </c>
      <c r="Z12" s="180">
        <v>78</v>
      </c>
      <c r="AA12" s="180">
        <v>61</v>
      </c>
      <c r="AB12" s="180">
        <v>27</v>
      </c>
      <c r="AC12" s="182">
        <v>0</v>
      </c>
      <c r="AD12" s="182">
        <v>0</v>
      </c>
      <c r="AE12" s="182">
        <v>0</v>
      </c>
      <c r="AF12" s="188">
        <v>0</v>
      </c>
      <c r="AG12" s="201">
        <v>15</v>
      </c>
      <c r="AH12" s="182">
        <v>61</v>
      </c>
      <c r="AI12" s="182">
        <v>66</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506</v>
      </c>
      <c r="AZ12" s="127">
        <f t="shared" si="1"/>
        <v>969</v>
      </c>
      <c r="BA12" s="127">
        <f t="shared" si="1"/>
        <v>932</v>
      </c>
      <c r="BB12" s="127">
        <f t="shared" si="1"/>
        <v>543</v>
      </c>
      <c r="BC12" s="125">
        <f>IF(ISNUMBER(X12),X12," - ")</f>
        <v>344</v>
      </c>
      <c r="BD12" s="126">
        <f t="shared" si="2"/>
        <v>0.96181630546955621</v>
      </c>
      <c r="BE12" s="127">
        <f t="shared" si="3"/>
        <v>0.58261802575107291</v>
      </c>
      <c r="BF12" s="127">
        <f t="shared" si="4"/>
        <v>0.36909871244635195</v>
      </c>
      <c r="BG12" s="195">
        <f t="shared" si="5"/>
        <v>1.5826180257510729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533</v>
      </c>
      <c r="J13" s="183">
        <f t="shared" si="6"/>
        <v>872</v>
      </c>
      <c r="K13" s="183">
        <f t="shared" si="6"/>
        <v>977</v>
      </c>
      <c r="L13" s="183">
        <f t="shared" si="6"/>
        <v>408</v>
      </c>
      <c r="M13" s="183">
        <f t="shared" si="6"/>
        <v>345</v>
      </c>
      <c r="N13" s="183">
        <f t="shared" si="6"/>
        <v>392</v>
      </c>
      <c r="O13" s="183">
        <f t="shared" si="6"/>
        <v>453</v>
      </c>
      <c r="P13" s="183">
        <f t="shared" si="6"/>
        <v>241</v>
      </c>
      <c r="Q13" s="183">
        <f t="shared" si="6"/>
        <v>140</v>
      </c>
      <c r="R13" s="183">
        <f t="shared" si="6"/>
        <v>903</v>
      </c>
      <c r="S13" s="183">
        <f t="shared" si="6"/>
        <v>491</v>
      </c>
      <c r="T13" s="183">
        <f t="shared" si="6"/>
        <v>909</v>
      </c>
      <c r="U13" s="183">
        <f t="shared" si="6"/>
        <v>867</v>
      </c>
      <c r="V13" s="183">
        <f t="shared" si="6"/>
        <v>533</v>
      </c>
      <c r="W13" s="183">
        <f t="shared" si="6"/>
        <v>295</v>
      </c>
      <c r="X13" s="183">
        <f t="shared" si="6"/>
        <v>344</v>
      </c>
      <c r="Y13" s="183">
        <f t="shared" si="6"/>
        <v>10</v>
      </c>
      <c r="Z13" s="183">
        <f t="shared" si="6"/>
        <v>78</v>
      </c>
      <c r="AA13" s="183">
        <f t="shared" si="6"/>
        <v>61</v>
      </c>
      <c r="AB13" s="183">
        <f t="shared" si="6"/>
        <v>27</v>
      </c>
      <c r="AC13" s="183">
        <f t="shared" si="6"/>
        <v>0</v>
      </c>
      <c r="AD13" s="183">
        <f t="shared" si="6"/>
        <v>0</v>
      </c>
      <c r="AE13" s="183">
        <f t="shared" si="6"/>
        <v>0</v>
      </c>
      <c r="AF13" s="183">
        <f>SUBTOTAL(9,AF9:AF12)</f>
        <v>0</v>
      </c>
      <c r="AG13" s="183">
        <f t="shared" ref="AG13:AT13" si="7">SUBTOTAL(9,AG8:AG12)</f>
        <v>15</v>
      </c>
      <c r="AH13" s="183">
        <f t="shared" si="7"/>
        <v>61</v>
      </c>
      <c r="AI13" s="183">
        <f t="shared" si="7"/>
        <v>66</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506</v>
      </c>
      <c r="AZ13" s="183">
        <f>SUBTOTAL(9,AZ8:AZ12)</f>
        <v>970</v>
      </c>
      <c r="BA13" s="183">
        <f>SUBTOTAL(9,BA8:BA12)</f>
        <v>933</v>
      </c>
      <c r="BB13" s="183">
        <f>SUBTOTAL(9,BB8:BB12)</f>
        <v>543</v>
      </c>
      <c r="BC13" s="183">
        <f>SUBTOTAL(9,BC8:BC12)</f>
        <v>345</v>
      </c>
      <c r="BD13" s="204">
        <f>IF(ISNUMBER(BA13/AZ13),BA13/AZ13," - ")</f>
        <v>0.96185567010309281</v>
      </c>
      <c r="BE13" s="205">
        <f>IF(ISNUMBER(BB13/BA13),BB13/BA13, " - ")</f>
        <v>0.58199356913183276</v>
      </c>
      <c r="BF13" s="205">
        <f>IF(ISNUMBER(BC13/BA13),BC13/BA13, " - ")</f>
        <v>0.36977491961414793</v>
      </c>
      <c r="BG13" s="206">
        <f>IF(ISNUMBER((AY13+AZ13)/BA13),(AY13+AZ13)/BA13," - ")</f>
        <v>1.5819935691318328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332</v>
      </c>
      <c r="J16" s="182">
        <v>764</v>
      </c>
      <c r="K16" s="182">
        <v>844</v>
      </c>
      <c r="L16" s="182">
        <v>270</v>
      </c>
      <c r="M16" s="182">
        <v>103</v>
      </c>
      <c r="N16" s="182">
        <v>467</v>
      </c>
      <c r="O16" s="180">
        <v>35</v>
      </c>
      <c r="P16" s="182">
        <v>27</v>
      </c>
      <c r="Q16" s="182">
        <v>37</v>
      </c>
      <c r="R16" s="182">
        <v>32</v>
      </c>
      <c r="S16" s="182">
        <v>330</v>
      </c>
      <c r="T16" s="182">
        <v>785</v>
      </c>
      <c r="U16" s="182">
        <v>696</v>
      </c>
      <c r="V16" s="182">
        <v>332</v>
      </c>
      <c r="W16" s="182">
        <v>127</v>
      </c>
      <c r="X16" s="188">
        <v>380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330</v>
      </c>
      <c r="AZ16" s="127">
        <f t="shared" si="9"/>
        <v>785</v>
      </c>
      <c r="BA16" s="127">
        <f t="shared" si="9"/>
        <v>696</v>
      </c>
      <c r="BB16" s="127">
        <f t="shared" si="9"/>
        <v>332</v>
      </c>
      <c r="BC16" s="125">
        <f>IF(ISNUMBER(W16),W16," - ")</f>
        <v>127</v>
      </c>
      <c r="BD16" s="126">
        <f t="shared" ref="BD16" si="11">IF(ISNUMBER(BA16/AZ16),BA16/AZ16," - ")</f>
        <v>0.88662420382165608</v>
      </c>
      <c r="BE16" s="127">
        <f t="shared" ref="BE16" si="12">IF(ISNUMBER(BB16/BA16),BB16/BA16, " - ")</f>
        <v>0.47701149425287354</v>
      </c>
      <c r="BF16" s="127">
        <f t="shared" ref="BF16" si="13">IF(ISNUMBER(BC16/BA16),BC16/BA16, " - ")</f>
        <v>0.18247126436781611</v>
      </c>
      <c r="BG16" s="195">
        <f t="shared" si="10"/>
        <v>1.6020114942528736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93</v>
      </c>
      <c r="K17" s="182">
        <v>99</v>
      </c>
      <c r="L17" s="182">
        <v>22</v>
      </c>
      <c r="M17" s="182">
        <v>10</v>
      </c>
      <c r="N17" s="182">
        <v>48</v>
      </c>
      <c r="O17" s="182">
        <v>3</v>
      </c>
      <c r="P17" s="182">
        <v>2</v>
      </c>
      <c r="Q17" s="182">
        <v>3</v>
      </c>
      <c r="R17" s="182">
        <v>0</v>
      </c>
      <c r="S17" s="182">
        <v>17</v>
      </c>
      <c r="T17" s="182">
        <v>91</v>
      </c>
      <c r="U17" s="182">
        <v>82</v>
      </c>
      <c r="V17" s="182">
        <v>26</v>
      </c>
      <c r="W17" s="182">
        <v>4</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91</v>
      </c>
      <c r="BA17" s="129">
        <f t="shared" si="14"/>
        <v>82</v>
      </c>
      <c r="BB17" s="129">
        <f t="shared" si="14"/>
        <v>26</v>
      </c>
      <c r="BC17" s="125">
        <f>IF(ISNUMBER(W17),W17," - ")</f>
        <v>4</v>
      </c>
      <c r="BD17" s="126">
        <f>IF(ISNUMBER(BA17/AZ17),BA17/AZ17," - ")</f>
        <v>0.90109890109890112</v>
      </c>
      <c r="BE17" s="127">
        <f>IF(ISNUMBER(BB17/BA17),BB17/BA17, " - ")</f>
        <v>0.31707317073170732</v>
      </c>
      <c r="BF17" s="127">
        <f>IF(ISNUMBER(BC17/BA17),BC17/BA17, " - ")</f>
        <v>4.878048780487805E-2</v>
      </c>
      <c r="BG17" s="195">
        <f>IF(ISNUMBER((AY17+AZ17)/BA17),(AY17+AZ17)/BA17," - ")</f>
        <v>1.3170731707317074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358</v>
      </c>
      <c r="J18" s="183">
        <f t="shared" si="15"/>
        <v>857</v>
      </c>
      <c r="K18" s="183">
        <f t="shared" si="15"/>
        <v>943</v>
      </c>
      <c r="L18" s="183">
        <f t="shared" si="15"/>
        <v>292</v>
      </c>
      <c r="M18" s="183">
        <f t="shared" si="15"/>
        <v>113</v>
      </c>
      <c r="N18" s="183">
        <f t="shared" si="15"/>
        <v>515</v>
      </c>
      <c r="O18" s="183">
        <f t="shared" si="15"/>
        <v>38</v>
      </c>
      <c r="P18" s="183">
        <f t="shared" si="15"/>
        <v>29</v>
      </c>
      <c r="Q18" s="183">
        <f t="shared" si="15"/>
        <v>40</v>
      </c>
      <c r="R18" s="183">
        <f t="shared" si="15"/>
        <v>32</v>
      </c>
      <c r="S18" s="183">
        <f t="shared" si="15"/>
        <v>347</v>
      </c>
      <c r="T18" s="183">
        <f t="shared" si="15"/>
        <v>876</v>
      </c>
      <c r="U18" s="183">
        <f t="shared" si="15"/>
        <v>778</v>
      </c>
      <c r="V18" s="183">
        <f t="shared" si="15"/>
        <v>358</v>
      </c>
      <c r="W18" s="183">
        <f t="shared" si="15"/>
        <v>131</v>
      </c>
      <c r="X18" s="183">
        <f t="shared" si="15"/>
        <v>421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347</v>
      </c>
      <c r="AZ18" s="183">
        <f>SUBTOTAL(9,AZ14:AZ17)</f>
        <v>876</v>
      </c>
      <c r="BA18" s="183">
        <f>SUBTOTAL(9,BA14:BA17)</f>
        <v>778</v>
      </c>
      <c r="BB18" s="183">
        <f>SUBTOTAL(9,BB14:BB17)</f>
        <v>358</v>
      </c>
      <c r="BC18" s="183">
        <f>SUBTOTAL(9,BC14:BC17)</f>
        <v>131</v>
      </c>
      <c r="BD18" s="204">
        <f>IF(ISNUMBER(BA18/AZ18),BA18/AZ18," - ")</f>
        <v>0.88812785388127857</v>
      </c>
      <c r="BE18" s="205">
        <f>IF(ISNUMBER(BB18/BA18),BB18/BA18, " - ")</f>
        <v>0.46015424164524421</v>
      </c>
      <c r="BF18" s="205">
        <f>IF(ISNUMBER(BC18/BA18),BC18/BA18, " - ")</f>
        <v>0.16838046272493573</v>
      </c>
      <c r="BG18" s="206">
        <f>IF(ISNUMBER((AY18+AZ18)/BA18),(AY18+AZ18)/BA18," - ")</f>
        <v>1.5719794344473008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891</v>
      </c>
      <c r="J19" s="134">
        <f t="shared" si="18"/>
        <v>1729</v>
      </c>
      <c r="K19" s="134">
        <f t="shared" si="18"/>
        <v>1920</v>
      </c>
      <c r="L19" s="134">
        <f t="shared" si="18"/>
        <v>700</v>
      </c>
      <c r="M19" s="134">
        <f t="shared" si="18"/>
        <v>458</v>
      </c>
      <c r="N19" s="134">
        <f t="shared" si="18"/>
        <v>907</v>
      </c>
      <c r="O19" s="134">
        <f t="shared" si="18"/>
        <v>491</v>
      </c>
      <c r="P19" s="134">
        <f t="shared" si="18"/>
        <v>270</v>
      </c>
      <c r="Q19" s="134">
        <f t="shared" si="18"/>
        <v>180</v>
      </c>
      <c r="R19" s="134">
        <f t="shared" si="18"/>
        <v>935</v>
      </c>
      <c r="S19" s="134">
        <f t="shared" si="18"/>
        <v>838</v>
      </c>
      <c r="T19" s="134">
        <f t="shared" si="18"/>
        <v>1785</v>
      </c>
      <c r="U19" s="134">
        <f t="shared" si="18"/>
        <v>1645</v>
      </c>
      <c r="V19" s="134">
        <f t="shared" si="18"/>
        <v>891</v>
      </c>
      <c r="W19" s="134">
        <f t="shared" si="18"/>
        <v>426</v>
      </c>
      <c r="X19" s="134">
        <f t="shared" si="18"/>
        <v>765</v>
      </c>
      <c r="Y19" s="134">
        <f t="shared" si="18"/>
        <v>10</v>
      </c>
      <c r="Z19" s="134">
        <f t="shared" si="18"/>
        <v>78</v>
      </c>
      <c r="AA19" s="134">
        <f t="shared" si="18"/>
        <v>61</v>
      </c>
      <c r="AB19" s="134">
        <f t="shared" si="18"/>
        <v>27</v>
      </c>
      <c r="AC19" s="134">
        <f t="shared" si="18"/>
        <v>0</v>
      </c>
      <c r="AD19" s="134">
        <f t="shared" si="18"/>
        <v>0</v>
      </c>
      <c r="AE19" s="134">
        <f t="shared" si="18"/>
        <v>0</v>
      </c>
      <c r="AF19" s="134">
        <f t="shared" si="18"/>
        <v>0</v>
      </c>
      <c r="AG19" s="134">
        <f t="shared" si="18"/>
        <v>15</v>
      </c>
      <c r="AH19" s="134">
        <f t="shared" si="18"/>
        <v>61</v>
      </c>
      <c r="AI19" s="134">
        <f t="shared" si="18"/>
        <v>66</v>
      </c>
      <c r="AJ19" s="134">
        <f t="shared" si="18"/>
        <v>10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853</v>
      </c>
      <c r="AZ19" s="134">
        <f>SUBTOTAL(9,AZ9:AZ18)</f>
        <v>1846</v>
      </c>
      <c r="BA19" s="134">
        <f>SUBTOTAL(9,BA9:BA18)</f>
        <v>1711</v>
      </c>
      <c r="BB19" s="134">
        <f>SUBTOTAL(9,BB9:BB18)</f>
        <v>901</v>
      </c>
      <c r="BC19" s="135">
        <f>SUBTOTAL(9,BC9:BC18)</f>
        <v>476</v>
      </c>
      <c r="BD19" s="212">
        <f>IF(ISNUMBER(BA19/AZ19),BA19/AZ19," - ")</f>
        <v>0.9268689057421452</v>
      </c>
      <c r="BE19" s="209">
        <f>IF(ISNUMBER(BB19/BA19),BB19/BA19, " - ")</f>
        <v>0.52659263588544714</v>
      </c>
      <c r="BF19" s="209">
        <f>IF(ISNUMBER(BC19/BA19),BC19/BA19, " - ")</f>
        <v>0.27819988310929283</v>
      </c>
      <c r="BG19" s="135">
        <f>IF(ISNUMBER((AY19+AZ19)/BA19),(AY19+AZ19)/BA19," - ")</f>
        <v>1.5774400935125656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eb4E2lZPGntrJ70zUCMJbJ1uj13DS8kOmjE3QYWP7mp+491rtHME3Nl7c1aueTP6Z8lSOLw7+hoXPaZ0Djq/g==" saltValue="XMQ5r2LqEQecbBLrlEfIj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FRhpce7Q55n7qHGrUp8bMT9Nuv/OsbY4LnUA7KOAK+QQXaMg2CPTGiXkJeZIf0hWRJHMt5VUKPhcYPD3zXEVw==" saltValue="6HduWqbbXgrTlQPrrOgA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VILLAVICIOSA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3</v>
      </c>
      <c r="BE10" s="228" t="str">
        <f>IF(ISNUMBER(Datos!BW10),Datos!BW10," - ")</f>
        <v xml:space="preserve"> - </v>
      </c>
      <c r="BF10" s="227" t="str">
        <f>IF(ISNUMBER(Datos!BX10),Datos!BX10," - ")</f>
        <v xml:space="preserve"> - </v>
      </c>
      <c r="BG10" s="242">
        <f>IF(ISNUMBER(Datos!K10/Datos!J10),Datos!K10/Datos!J10," - ")</f>
        <v>0.7142857142857143</v>
      </c>
      <c r="BH10" s="259">
        <f>IF(ISNUMBER(((Datos!L10/Datos!K10)*11)/factor_trimestre),((Datos!L10/Datos!K10)*11)/factor_trimestre," - ")</f>
        <v>4.4000000000000004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78</v>
      </c>
      <c r="O12" s="333"/>
      <c r="P12" s="333"/>
      <c r="Q12" s="225">
        <f>IF(ISNUMBER(Datos!P12),Datos!P12,0)</f>
        <v>241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903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345</v>
      </c>
      <c r="BD12" s="228">
        <f>IF(ISNUMBER(Datos!N12),Datos!N12," - ")</f>
        <v>389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1.0954400848356309</v>
      </c>
      <c r="BH12" s="259">
        <f>IF(ISNUMBER(((IF(J_V="SI",Datos!L12/Datos!K12,(Datos!L12+Datos!AB12)/(Datos!K12+Datos!AA12)))*11)/factor_trimestre),((IF(J_V="SI",Datos!L12/Datos!K12,(Datos!L12+Datos!AB12)/(Datos!K12+Datos!AA12)))*11)/factor_trimestre," - ")</f>
        <v>4.6108422071636008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0.1259351620947631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78</v>
      </c>
      <c r="O13" s="899">
        <f t="shared" si="0"/>
        <v>0</v>
      </c>
      <c r="P13" s="899">
        <f t="shared" si="0"/>
        <v>0</v>
      </c>
      <c r="Q13" s="898">
        <f t="shared" si="0"/>
        <v>241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140</v>
      </c>
      <c r="AD13" s="898">
        <f t="shared" si="1"/>
        <v>0</v>
      </c>
      <c r="AE13" s="898">
        <f t="shared" si="1"/>
        <v>0</v>
      </c>
      <c r="AF13" s="898">
        <f t="shared" si="1"/>
        <v>2</v>
      </c>
      <c r="AG13" s="898">
        <f t="shared" si="1"/>
        <v>0</v>
      </c>
      <c r="AH13" s="898">
        <f t="shared" si="1"/>
        <v>27</v>
      </c>
      <c r="AI13" s="898">
        <f t="shared" si="1"/>
        <v>0</v>
      </c>
      <c r="AJ13" s="898">
        <f t="shared" si="1"/>
        <v>0</v>
      </c>
      <c r="AK13" s="898">
        <f t="shared" si="1"/>
        <v>0</v>
      </c>
      <c r="AL13" s="898">
        <f t="shared" si="1"/>
        <v>0</v>
      </c>
      <c r="AM13" s="898">
        <f t="shared" si="1"/>
        <v>903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345</v>
      </c>
      <c r="BD13" s="898">
        <f t="shared" si="1"/>
        <v>392</v>
      </c>
      <c r="BE13" s="898">
        <f t="shared" si="1"/>
        <v>0</v>
      </c>
      <c r="BF13" s="898">
        <f t="shared" si="1"/>
        <v>0</v>
      </c>
      <c r="BG13" s="898">
        <f>IF(ISNUMBER(Datos!K13/Datos!J13),Datos!K13/Datos!J13," - ")</f>
        <v>1.1204128440366972</v>
      </c>
      <c r="BH13" s="902">
        <f>IF(ISNUMBER(((Datos!L13/Datos!K13)*11)/factor_trimestre),((Datos!L13/Datos!K13)*11)/factor_trimestre," - ")</f>
        <v>4.5936540429887414</v>
      </c>
      <c r="BI13" s="898">
        <f>IF(ISNUMBER('Resol  Asuntos'!D13/NºAsuntos!G13),'Resol  Asuntos'!D13/NºAsuntos!G13," - ")</f>
        <v>0.33236994219653176</v>
      </c>
      <c r="BJ13" s="898" t="str">
        <f>IF(ISNUMBER(Datos!CI13/Datos!CJ13),Datos!CI13/Datos!CJ13," - ")</f>
        <v xml:space="preserve"> - </v>
      </c>
      <c r="BK13" s="898">
        <f>SUBTOTAL(9,BK8:BK12)</f>
        <v>0</v>
      </c>
      <c r="BL13" s="898" t="str">
        <f>IF(ISNUMBER((I13-AB13+L13)/(F13)),(I13-AB13+L13)/(F13)," - ")</f>
        <v xml:space="preserve"> - </v>
      </c>
      <c r="BM13" s="903">
        <f>SUBTOTAL(9,BM9:BM12)</f>
        <v>0.1259351620947631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350</v>
      </c>
      <c r="G16" s="597">
        <f>IF(ISNUMBER(IF(D_I="SI",Datos!I16,Datos!I16+Datos!AC16)),IF(D_I="SI",Datos!I16,Datos!I16+Datos!AC16)," - ")</f>
        <v>332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844</v>
      </c>
      <c r="AC16" s="225">
        <f>IF(ISNUMBER(Datos!Q16),Datos!Q16," - ")</f>
        <v>37</v>
      </c>
      <c r="AD16" s="333"/>
      <c r="AE16" s="483"/>
      <c r="AF16" s="595">
        <f>IF(ISNUMBER(IF(D_I="SI",Datos!L16,Datos!L16+Datos!AF16)),IF(D_I="SI",Datos!L16,Datos!L16+Datos!AF16)," - ")</f>
        <v>270</v>
      </c>
      <c r="AG16" s="333"/>
      <c r="AH16" s="333"/>
      <c r="AI16" s="333"/>
      <c r="AJ16" s="333"/>
      <c r="AK16" s="333"/>
      <c r="AL16" s="478"/>
      <c r="AM16" s="334">
        <f>IF(ISNUMBER(Datos!R16),Datos!R16," - ")</f>
        <v>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103</v>
      </c>
      <c r="BD16" s="228">
        <f>IF(ISNUMBER(Datos!N16),Datos!N16," - ")</f>
        <v>467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1.1047120418848169</v>
      </c>
      <c r="BH16" s="259">
        <f>IF(ISNUMBER(((IF(D_I="SI",Datos!L16/Datos!K16,(Datos!L16+Datos!AF16)/(Datos!K16+Datos!AE16)))*11)/factor_trimestre),((IF(D_I="SI",Datos!L16/Datos!K16,(Datos!L16+Datos!AF16)/(Datos!K16+Datos!AE16)))*11)/factor_trimestre," - ")</f>
        <v>3.5189573459715637</v>
      </c>
      <c r="BI16" s="242">
        <f>IF(ISNUMBER('Resol  Asuntos'!D16/NºAsuntos!G16),'Resol  Asuntos'!D16/NºAsuntos!G16," - ")</f>
        <v>0.12203791469194313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99</v>
      </c>
      <c r="AC17" s="225">
        <f>IF(ISNUMBER(Datos!Q17),Datos!Q17," - ")</f>
        <v>3</v>
      </c>
      <c r="AD17" s="333"/>
      <c r="AE17" s="483"/>
      <c r="AF17" s="331">
        <f>IF(ISNUMBER(Datos!L17),Datos!L17,"-")</f>
        <v>22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48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1.064516129032258</v>
      </c>
      <c r="BH17" s="259">
        <f>IF(ISNUMBER(((IF(D_I="SI",Datos!L17/Datos!K17,(Datos!L17+Datos!AF17)/(Datos!K17+Datos!AE17)))*11)/factor_trimestre),((IF(D_I="SI",Datos!L17/Datos!K17,(Datos!L17+Datos!AF17)/(Datos!K17+Datos!AE17)))*11)/factor_trimestre," - ")</f>
        <v>2.4444444444444442</v>
      </c>
      <c r="BI17" s="242">
        <f>IF(ISNUMBER('Resol  Asuntos'!D17/NºAsuntos!G17),'Resol  Asuntos'!D17/NºAsuntos!G17," - ")</f>
        <v>0.10101010101010101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350</v>
      </c>
      <c r="G18" s="897">
        <f>SUBTOTAL(9,G15:G17)</f>
        <v>358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943</v>
      </c>
      <c r="AC18" s="898">
        <f t="shared" si="4"/>
        <v>40</v>
      </c>
      <c r="AD18" s="898">
        <f t="shared" si="4"/>
        <v>0</v>
      </c>
      <c r="AE18" s="898">
        <f t="shared" si="4"/>
        <v>0</v>
      </c>
      <c r="AF18" s="898">
        <f t="shared" si="4"/>
        <v>292</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113</v>
      </c>
      <c r="BD18" s="898">
        <f t="shared" si="4"/>
        <v>515</v>
      </c>
      <c r="BE18" s="898">
        <f t="shared" si="4"/>
        <v>0</v>
      </c>
      <c r="BF18" s="898">
        <f t="shared" si="4"/>
        <v>0</v>
      </c>
      <c r="BG18" s="898">
        <f>IF(ISNUMBER(Datos!K18/Datos!J18),Datos!K18/Datos!J18," - ")</f>
        <v>1.1003500583430572</v>
      </c>
      <c r="BH18" s="902">
        <f>IF(ISNUMBER(((Datos!L18/Datos!K18)*11)/factor_trimestre),((Datos!L18/Datos!K18)*11)/factor_trimestre," - ")</f>
        <v>3.4061505832449628</v>
      </c>
      <c r="BI18" s="898">
        <f>SUBTOTAL(9,BI15:BI17)</f>
        <v>0.22304801570204413</v>
      </c>
      <c r="BJ18" s="898">
        <f>SUBTOTAL(9,BJ15:BJ17)</f>
        <v>0</v>
      </c>
      <c r="BK18" s="898">
        <f>SUBTOTAL(9,BK15:BK17)</f>
        <v>0</v>
      </c>
      <c r="BL18" s="898">
        <f>IF(ISNUMBER((I18-AB18+L18)/(F18)),(I18-AB18+L18)/(F18)," - ")</f>
        <v>-2.6942857142857144</v>
      </c>
      <c r="BM18" s="904">
        <f>IF(ISNUMBER((Datos!P18-Datos!Q18)/(Datos!R18-Datos!P18+Datos!Q18)),(Datos!P18-Datos!Q18)/(Datos!R18-Datos!P18+Datos!Q18)," - ")</f>
        <v>-0.2558139534883721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350</v>
      </c>
      <c r="G19" s="819">
        <f t="shared" si="6"/>
        <v>358</v>
      </c>
      <c r="H19" s="821">
        <f t="shared" si="6"/>
        <v>0</v>
      </c>
      <c r="I19" s="819">
        <f t="shared" si="6"/>
        <v>0</v>
      </c>
      <c r="J19" s="821">
        <f t="shared" si="6"/>
        <v>0</v>
      </c>
      <c r="K19" s="821">
        <f t="shared" si="6"/>
        <v>0</v>
      </c>
      <c r="L19" s="880">
        <f t="shared" si="6"/>
        <v>0</v>
      </c>
      <c r="M19" s="880">
        <f t="shared" si="6"/>
        <v>0</v>
      </c>
      <c r="N19" s="880">
        <f t="shared" si="6"/>
        <v>78</v>
      </c>
      <c r="O19" s="880">
        <f t="shared" si="6"/>
        <v>0</v>
      </c>
      <c r="P19" s="880">
        <f t="shared" si="6"/>
        <v>0</v>
      </c>
      <c r="Q19" s="821">
        <f t="shared" si="6"/>
        <v>270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948</v>
      </c>
      <c r="AC19" s="820">
        <f t="shared" si="7"/>
        <v>180</v>
      </c>
      <c r="AD19" s="820">
        <f t="shared" si="7"/>
        <v>0</v>
      </c>
      <c r="AE19" s="820">
        <f t="shared" si="7"/>
        <v>0</v>
      </c>
      <c r="AF19" s="827">
        <f t="shared" si="7"/>
        <v>294</v>
      </c>
      <c r="AG19" s="827">
        <f t="shared" si="7"/>
        <v>0</v>
      </c>
      <c r="AH19" s="827">
        <f t="shared" si="7"/>
        <v>27</v>
      </c>
      <c r="AI19" s="827">
        <f t="shared" si="7"/>
        <v>0</v>
      </c>
      <c r="AJ19" s="820">
        <f t="shared" si="7"/>
        <v>0</v>
      </c>
      <c r="AK19" s="827">
        <f t="shared" si="7"/>
        <v>0</v>
      </c>
      <c r="AL19" s="827">
        <f t="shared" si="7"/>
        <v>0</v>
      </c>
      <c r="AM19" s="827">
        <f t="shared" si="7"/>
        <v>935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458</v>
      </c>
      <c r="BD19" s="819">
        <f t="shared" si="7"/>
        <v>907</v>
      </c>
      <c r="BE19" s="819">
        <f t="shared" si="7"/>
        <v>0</v>
      </c>
      <c r="BF19" s="829">
        <f t="shared" si="7"/>
        <v>0</v>
      </c>
      <c r="BG19" s="914">
        <f>IF(ISNUMBER(Datos!K19/Datos!J19),Datos!K19/Datos!J19," - ")</f>
        <v>1.1104684788895316</v>
      </c>
      <c r="BH19" s="914">
        <f>IF(ISNUMBER(((Datos!L19/Datos!K19)*11)/factor_trimestre),((Datos!L19/Datos!K19)*11)/factor_trimestre," - ")</f>
        <v>4.0104166666666661</v>
      </c>
      <c r="BI19" s="812">
        <f>IF(ISNUMBER(Datos!J19/Datos!I19),Datos!J19/Datos!I19," - ")</f>
        <v>1.9405162738496071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-2.7085714285714286</v>
      </c>
      <c r="BM19" s="888">
        <f>IF(ISNUMBER((Datos!P19-Datos!Q19+R19)/(Datos!R19-Datos!P19+Datos!Q19-R19)),(Datos!P19-Datos!Q19+R19)/(Datos!R19-Datos!P19+Datos!Q19-R19)," - ")</f>
        <v>0.10650887573964497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143.19999999999999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202.07259421636903</v>
      </c>
      <c r="G21" s="551">
        <f>IF(ISNUMBER(STDEV(G8:G18)),STDEV(G8:G18),"-")</f>
        <v>184.7517252964096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472.35389275415105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156.00341876595741</v>
      </c>
      <c r="BD21" s="550"/>
      <c r="BE21" s="550">
        <f>IF(ISNUMBER(STDEV(BE8:BE18)),STDEV(BE8:BE18),"-")</f>
        <v>0</v>
      </c>
      <c r="BF21" s="555">
        <f>IF(ISNUMBER(STDEV(BF8:BF18)),STDEV(BF8:BF18),"-")</f>
        <v>0</v>
      </c>
      <c r="BG21" s="774">
        <f>IF(ISNUMBER(STDEV(BG8:BG18)),STDEV(BG8:BG18),"-")</f>
        <v>0.15734674311174202</v>
      </c>
      <c r="BH21" s="775">
        <f>IF(ISNUMBER(STDEV(BH8:BH18)),STDEV(BH8:BH18),"-")</f>
        <v>0.86185105499201553</v>
      </c>
      <c r="BI21" s="248">
        <f>IF(ISNUMBER(STDEV(BI8:BI18)),STDEV(BI8:BI18),"-")</f>
        <v>0.10616680413274776</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Utk//yvs42Iwa+CJLCuhR1BVMz0Jr4kK508fL1XN8BL0SI2AY3+QJTLaSSHEHBZDnWY9hbA//4kGe6iLJT1pxA==" saltValue="lgZ9zqSlwOSYkj5Z1QgD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VILLAVICIOSA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4.4000000000000004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140</v>
      </c>
      <c r="AA12" s="331" t="str">
        <f>IF(ISNUMBER(IF(J_V="SI",Datos!L12,Datos!L12+Datos!AB12)-IF(Monitorios="SI",Datos!CD12,0)),
                          IF(J_V="SI",Datos!L12,Datos!L12+Datos!AB12)-IF(Monitorios="SI",Datos!CD12,0),
                          " - ")</f>
        <v xml:space="preserve"> - </v>
      </c>
      <c r="AB12" s="333"/>
      <c r="AC12" s="333"/>
      <c r="AD12" s="483"/>
      <c r="AE12" s="483">
        <f>IF(ISNUMBER(Datos!R12),Datos!R12," - ")</f>
        <v>903</v>
      </c>
      <c r="AF12" s="228" t="str">
        <f>IF(ISNUMBER(Datos!BV12),Datos!BV12," - ")</f>
        <v xml:space="preserve"> - </v>
      </c>
      <c r="AG12" s="224" t="str">
        <f>IF(ISNUMBER(Datos!DV12),Datos!DV12," - ")</f>
        <v xml:space="preserve"> - </v>
      </c>
      <c r="AH12" s="297"/>
      <c r="AI12" s="226"/>
      <c r="AJ12" s="224">
        <f>IF(ISNUMBER(Datos!M12),Datos!M12," - ")</f>
        <v>345</v>
      </c>
      <c r="AK12" s="228">
        <f>IF(ISNUMBER(Datos!N12),Datos!N12," - ")</f>
        <v>389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4.6108422071636008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0.1259351620947631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241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140</v>
      </c>
      <c r="AA13" s="899">
        <f t="shared" si="2"/>
        <v>2</v>
      </c>
      <c r="AB13" s="899">
        <f t="shared" si="2"/>
        <v>0</v>
      </c>
      <c r="AC13" s="899">
        <f t="shared" si="2"/>
        <v>0</v>
      </c>
      <c r="AD13" s="899">
        <f t="shared" si="2"/>
        <v>0</v>
      </c>
      <c r="AE13" s="899">
        <f t="shared" si="2"/>
        <v>903</v>
      </c>
      <c r="AF13" s="907">
        <f t="shared" si="2"/>
        <v>0</v>
      </c>
      <c r="AG13" s="907">
        <f t="shared" si="2"/>
        <v>0</v>
      </c>
      <c r="AH13" s="907">
        <f t="shared" si="2"/>
        <v>0</v>
      </c>
      <c r="AI13" s="907">
        <f t="shared" si="2"/>
        <v>0</v>
      </c>
      <c r="AJ13" s="907">
        <f t="shared" si="2"/>
        <v>345</v>
      </c>
      <c r="AK13" s="907">
        <f t="shared" si="2"/>
        <v>392</v>
      </c>
      <c r="AL13" s="907">
        <f t="shared" si="2"/>
        <v>0</v>
      </c>
      <c r="AM13" s="907">
        <f t="shared" si="2"/>
        <v>0</v>
      </c>
      <c r="AN13" s="907">
        <f t="shared" si="2"/>
        <v>0</v>
      </c>
      <c r="AO13" s="903">
        <f>IF(ISNUMBER(((NºAsuntos!I13/NºAsuntos!G13)*11)/factor_trimestre),((NºAsuntos!I13/NºAsuntos!G13)*11)/factor_trimestre," - ")</f>
        <v>4.6098265895953752</v>
      </c>
      <c r="AP13" s="909" t="str">
        <f>IF(ISNUMBER(Datos!CI13/Datos!CJ13),Datos!CI13/Datos!CJ13," - ")</f>
        <v xml:space="preserve"> - </v>
      </c>
      <c r="AQ13" s="927">
        <f t="shared" ref="AQ13:AV13" si="3">SUBTOTAL(9,AQ9:AQ12)</f>
        <v>0</v>
      </c>
      <c r="AR13" s="927">
        <f t="shared" si="3"/>
        <v>0.1259351620947631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350</v>
      </c>
      <c r="G16" s="224">
        <f>IF(ISNUMBER(IF(D_I="SI",Datos!I16,Datos!I16+Datos!AC16)),IF(D_I="SI",Datos!I16,Datos!I16+Datos!AC16)," - ")</f>
        <v>332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844</v>
      </c>
      <c r="Z16" s="618">
        <f>IF(ISNUMBER(Datos!Q16),Datos!Q16," - ")</f>
        <v>37</v>
      </c>
      <c r="AA16" s="331">
        <f>IF(ISNUMBER(IF(D_I="SI",Datos!L16,Datos!L16+Datos!AF16)),IF(D_I="SI",Datos!L16,Datos!L16+Datos!AF16)," - ")</f>
        <v>270</v>
      </c>
      <c r="AB16" s="333"/>
      <c r="AC16" s="333"/>
      <c r="AD16" s="483"/>
      <c r="AE16" s="483">
        <f>IF(ISNUMBER(Datos!R16),Datos!R16," - ")</f>
        <v>32</v>
      </c>
      <c r="AF16" s="228" t="str">
        <f>IF(ISNUMBER(Datos!BV16),Datos!BV16," - ")</f>
        <v xml:space="preserve"> - </v>
      </c>
      <c r="AG16" s="224"/>
      <c r="AH16" s="297"/>
      <c r="AI16" s="226"/>
      <c r="AJ16" s="224">
        <f>IF(ISNUMBER(Datos!M16),Datos!M16," - ")</f>
        <v>103</v>
      </c>
      <c r="AK16" s="228">
        <f>IF(ISNUMBER(Datos!N16),Datos!N16," - ")</f>
        <v>467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3.5189573459715637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99</v>
      </c>
      <c r="Z17" s="618">
        <f>IF(ISNUMBER(Datos!Q17),Datos!Q17," - ")</f>
        <v>3</v>
      </c>
      <c r="AA17" s="331">
        <f>IF(ISNUMBER(Datos!L17),Datos!L17,"-")</f>
        <v>22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2.4444444444444442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350</v>
      </c>
      <c r="G18" s="897">
        <f>SUBTOTAL(9,G15:G17)</f>
        <v>358</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943</v>
      </c>
      <c r="Z18" s="931">
        <f t="shared" si="5"/>
        <v>40</v>
      </c>
      <c r="AA18" s="931">
        <f t="shared" si="5"/>
        <v>292</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113</v>
      </c>
      <c r="AK18" s="931">
        <f t="shared" si="5"/>
        <v>515</v>
      </c>
      <c r="AL18" s="931">
        <f t="shared" si="5"/>
        <v>0</v>
      </c>
      <c r="AM18" s="931">
        <f t="shared" si="5"/>
        <v>0</v>
      </c>
      <c r="AN18" s="931">
        <f t="shared" si="5"/>
        <v>0</v>
      </c>
      <c r="AO18" s="933">
        <f>IF(ISNUMBER(((NºAsuntos!I18/NºAsuntos!G18)*11)/factor_trimestre),((NºAsuntos!I18/NºAsuntos!G18)*11)/factor_trimestre," - ")</f>
        <v>3.4061505832449628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350</v>
      </c>
      <c r="G19" s="819">
        <f t="shared" si="7"/>
        <v>358</v>
      </c>
      <c r="H19" s="820">
        <f t="shared" si="7"/>
        <v>0</v>
      </c>
      <c r="I19" s="819">
        <f t="shared" si="7"/>
        <v>0</v>
      </c>
      <c r="J19" s="821">
        <f t="shared" si="7"/>
        <v>0</v>
      </c>
      <c r="K19" s="819">
        <f t="shared" si="7"/>
        <v>0</v>
      </c>
      <c r="L19" s="822">
        <f t="shared" si="7"/>
        <v>0</v>
      </c>
      <c r="M19" s="819">
        <f t="shared" si="7"/>
        <v>0</v>
      </c>
      <c r="N19" s="820">
        <f t="shared" si="7"/>
        <v>270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948</v>
      </c>
      <c r="Z19" s="826">
        <f t="shared" si="8"/>
        <v>180</v>
      </c>
      <c r="AA19" s="827">
        <f t="shared" si="8"/>
        <v>294</v>
      </c>
      <c r="AB19" s="827">
        <f t="shared" si="8"/>
        <v>0</v>
      </c>
      <c r="AC19" s="827">
        <f t="shared" si="8"/>
        <v>0</v>
      </c>
      <c r="AD19" s="828">
        <f t="shared" si="8"/>
        <v>0</v>
      </c>
      <c r="AE19" s="828">
        <f t="shared" si="8"/>
        <v>935</v>
      </c>
      <c r="AF19" s="829">
        <f t="shared" si="8"/>
        <v>0</v>
      </c>
      <c r="AG19" s="830">
        <f t="shared" si="8"/>
        <v>0</v>
      </c>
      <c r="AH19" s="831">
        <f t="shared" si="8"/>
        <v>0</v>
      </c>
      <c r="AI19" s="829">
        <f t="shared" si="8"/>
        <v>0</v>
      </c>
      <c r="AJ19" s="819">
        <f t="shared" si="8"/>
        <v>458</v>
      </c>
      <c r="AK19" s="819">
        <f t="shared" si="8"/>
        <v>907</v>
      </c>
      <c r="AL19" s="819">
        <f t="shared" si="8"/>
        <v>0</v>
      </c>
      <c r="AM19" s="832">
        <f t="shared" si="8"/>
        <v>0</v>
      </c>
      <c r="AN19" s="822">
        <f>IF(ISNUMBER(Datos!K19/Datos!J19),Datos!K19/Datos!J19," - ")</f>
        <v>1.1104684788895316</v>
      </c>
      <c r="AO19" s="822">
        <f>IF(ISNUMBER(FIND("06",Criterios!A8,1)),(IF(ISNUMBER(((Datos!R19/Datos!Q19)*11)/factor_trimestre),((Datos!R19/Datos!Q19)*11)/factor_trimestre," - ")),(IF(ISNUMBER(((Datos!L19/Datos!K19)*11)/factor_trimestre),((Datos!L19/Datos!K19)*11)/factor_trimestre," - ")))</f>
        <v>4.0104166666666661</v>
      </c>
      <c r="AP19" s="833" t="str">
        <f>IF(ISNUMBER(Datos!CI19/Datos!CJ19),Datos!CI19/Datos!CJ19," - ")</f>
        <v xml:space="preserve"> - </v>
      </c>
      <c r="AQ19" s="833">
        <f>IF(OR(ISNUMBER(FIND("01",Criterios!A8,1)),ISNUMBER(FIND("02",Criterios!A8,1)),ISNUMBER(FIND("03",Criterios!A8,1)),ISNUMBER(FIND("04",Criterios!A8,1))),(J19-Y19+K19)/(F19-K19),(I19-Y19+K19)/(F19-K19))</f>
        <v>-2.7085714285714286</v>
      </c>
      <c r="AR19" s="833">
        <f>IF(ISNUMBER((Datos!P19-Datos!Q19+O19)/(Datos!R19-Datos!P19+Datos!Q19-O19)),(Datos!P19-Datos!Q19+O19)/(Datos!R19-Datos!P19+Datos!Q19-O19)," - ")</f>
        <v>0.10650887573964497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143.19999999999999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202.07259421636903</v>
      </c>
      <c r="G21" s="551">
        <f>IF(ISNUMBER(STDEV(G8:G18)),STDEV(G8:G18),"-")</f>
        <v>184.7517252964096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156.00341876595741</v>
      </c>
      <c r="AK21" s="251"/>
      <c r="AL21" s="251">
        <f>IF(ISNUMBER(STDEV(AL8:AL18)),STDEV(AL8:AL18),"-")</f>
        <v>0</v>
      </c>
      <c r="AM21" s="253">
        <f>IF(ISNUMBER(STDEV(AM8:AM18)),STDEV(AM8:AM18),"-")</f>
        <v>0</v>
      </c>
      <c r="AN21" s="538">
        <f>IF(ISNUMBER(STDEV(AN8:AN18)),STDEV(AN8:AN18),"-")</f>
        <v>0</v>
      </c>
      <c r="AO21" s="539">
        <f>IF(ISNUMBER(STDEV(AO8:AO18)),STDEV(AO8:AO18),"-")</f>
        <v>0.86474119926292958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MyYbENA6VDuJf+KrCo4MhVwUyuB96i2K61eM/03EYm3HYfAXlIvL4cIgcvkC9dnTAZ2jZKS4bO9LP5yh+g9JA==" saltValue="3DrIc+7MiiGcJcePko/h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F3CPu9oX8VL9ZoKgFU1LSPzaARuuvoQ7rFlce2i0sJTDURsfXWpPWRvjdS/ndcwPujydsIWUD9YOix30gpuxw==" saltValue="iUUnSlrPRgWFushL6PEP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lZ7T6xer4KRoKc+7OqILGUONc0SUij3q6G6E60u+tpgnPU1uVtNeZoydrp8hRA+XRz1brQDoNXrx3din6kc8Q==" saltValue="7Pf056LhBCA67Pmq4Ddq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VILLAVICIOSA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0.33236994219653176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0.23502103998974844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mLvnzTeGLYLrRILuupczKg/MQJ5EZbPYDC7EfXWmPr5pbfKpdJU5OHF8Co4X3CFCHwD+t7qMX1IO2HXzJJAPow==" saltValue="1PnuZoMxhQiOYnSLeR3C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rR+X++7CXt/SOMQXHiK2ewqdNvlXEG8TlTKjV4sCi6njjO3zad1ygvRS3FsQgWhdcdDjCoA7K/Sgvl6wP5H5w==" saltValue="ZkJn/5Xw3XYc21F+huYO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VILLAVICIOSA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7</v>
      </c>
      <c r="F10" s="403">
        <f>IF(ISNUMBER(E10/B10),E10/B10," - ")</f>
        <v>7</v>
      </c>
      <c r="G10" s="402">
        <f>IF(ISNUMBER(Datos!K10),Datos!K10," - ")</f>
        <v>5</v>
      </c>
      <c r="H10" s="403">
        <f>IF(ISNUMBER(G10/B10),G10/B10," - ")</f>
        <v>5</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543</v>
      </c>
      <c r="D12" s="403">
        <f>IF(ISNUMBER(C12/Datos!BH12),C12/Datos!BH12," - ")</f>
        <v>543</v>
      </c>
      <c r="E12" s="402">
        <f>IF(ISNUMBER(IF(J_V="SI",Datos!J12,Datos!J12+Datos!Z12)),IF(J_V="SI",Datos!J12,Datos!J12+Datos!Z12)," - ")</f>
        <v>943</v>
      </c>
      <c r="F12" s="403">
        <f>IF(ISNUMBER(E12/B12),E12/B12," - ")</f>
        <v>943</v>
      </c>
      <c r="G12" s="402">
        <f>IF(ISNUMBER(IF(J_V="SI",Datos!K12,Datos!K12+Datos!AA12)),IF(J_V="SI",Datos!K12,Datos!K12+Datos!AA12)," - ")</f>
        <v>1033</v>
      </c>
      <c r="H12" s="403">
        <f>IF(ISNUMBER(G12/B12),G12/B12," - ")</f>
        <v>1033</v>
      </c>
      <c r="I12" s="402">
        <f>IF(ISNUMBER(IF(J_V="SI",Datos!L12,Datos!L12+Datos!AB12)),IF(J_V="SI",Datos!L12,Datos!L12+Datos!AB12)," - ")</f>
        <v>433</v>
      </c>
      <c r="J12" s="403">
        <f>IF(ISNUMBER(I12/B12),I12/B12," - ")</f>
        <v>433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543</v>
      </c>
      <c r="D13" s="849" t="str">
        <f>IF(ISNUMBER(C13/Datos!BI13),C13/Datos!BI13," - ")</f>
        <v xml:space="preserve"> - </v>
      </c>
      <c r="E13" s="848">
        <f>SUBTOTAL(9,E8:E12)</f>
        <v>950</v>
      </c>
      <c r="F13" s="849">
        <f>IF(ISNUMBER(E13/B13),E13/B13," - ")</f>
        <v>950</v>
      </c>
      <c r="G13" s="848">
        <f>SUBTOTAL(9,G8:G12)</f>
        <v>1038</v>
      </c>
      <c r="H13" s="849">
        <f>IF(ISNUMBER(G13/B13),G13/B13," - ")</f>
        <v>1038</v>
      </c>
      <c r="I13" s="848">
        <f>SUBTOTAL(9,I8:I12)</f>
        <v>435</v>
      </c>
      <c r="J13" s="849">
        <f>IF(ISNUMBER(I13/B13),I13/B13," - ")</f>
        <v>435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332</v>
      </c>
      <c r="D16" s="403">
        <f>IF(ISNUMBER(C16/Datos!BH16),C16/Datos!BH16," - ")</f>
        <v>332</v>
      </c>
      <c r="E16" s="402">
        <f>IF(ISNUMBER(IF(D_I="SI",Datos!J16,Datos!J16+Datos!AD16)),IF(D_I="SI",Datos!J16,Datos!J16+Datos!AD16)," - ")</f>
        <v>764</v>
      </c>
      <c r="F16" s="403">
        <f>IF(ISNUMBER(E16/B16),E16/B16," - ")</f>
        <v>764</v>
      </c>
      <c r="G16" s="402">
        <f>IF(ISNUMBER(IF(D_I="SI",Datos!K16,Datos!K16+Datos!AE16)),IF(D_I="SI",Datos!K16,Datos!K16+Datos!AE16)," - ")</f>
        <v>844</v>
      </c>
      <c r="H16" s="403">
        <f>IF(ISNUMBER(G16/B16),G16/B16," - ")</f>
        <v>844</v>
      </c>
      <c r="I16" s="402">
        <f>IF(ISNUMBER(IF(D_I="SI",Datos!L16,Datos!L16+Datos!AF16)),IF(D_I="SI",Datos!L16,Datos!L16+Datos!AF16)," - ")</f>
        <v>270</v>
      </c>
      <c r="J16" s="403">
        <f>IF(ISNUMBER(I16/B16),I16/B16," - ")</f>
        <v>270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93</v>
      </c>
      <c r="F17" s="403">
        <f>IF(ISNUMBER(E17/B17),E17/B17," - ")</f>
        <v>93</v>
      </c>
      <c r="G17" s="402">
        <f>IF(ISNUMBER(IF(D_I="SI",Datos!K17,Datos!K17+Datos!AE17)),IF(D_I="SI",Datos!K17,Datos!K17+Datos!AE17)," - ")</f>
        <v>99</v>
      </c>
      <c r="H17" s="403">
        <f>IF(ISNUMBER(G17/B17),G17/B17," - ")</f>
        <v>99</v>
      </c>
      <c r="I17" s="402">
        <f>IF(ISNUMBER(IF(D_I="SI",Datos!L17,Datos!L17+Datos!AF17)),IF(D_I="SI",Datos!L17,Datos!L17+Datos!AF17)," - ")</f>
        <v>22</v>
      </c>
      <c r="J17" s="403">
        <f>IF(ISNUMBER(I17/B17),I17/B17," - ")</f>
        <v>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358</v>
      </c>
      <c r="D18" s="849" t="str">
        <f>IF(ISNUMBER(C18/Datos!BI18),C18/Datos!BI18," - ")</f>
        <v xml:space="preserve"> - </v>
      </c>
      <c r="E18" s="848">
        <f>SUBTOTAL(9,E14:E17)</f>
        <v>857</v>
      </c>
      <c r="F18" s="849">
        <f>IF(ISNUMBER(E18/B18),E18/B18," - ")</f>
        <v>857</v>
      </c>
      <c r="G18" s="848">
        <f>SUBTOTAL(9,G14:G17)</f>
        <v>943</v>
      </c>
      <c r="H18" s="849">
        <f>IF(ISNUMBER(G18/B18),G18/B18," - ")</f>
        <v>943</v>
      </c>
      <c r="I18" s="848">
        <f>SUBTOTAL(9,I14:I17)</f>
        <v>292</v>
      </c>
      <c r="J18" s="849">
        <f>IF(ISNUMBER(I18/B18),I18/B18," - ")</f>
        <v>292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901</v>
      </c>
      <c r="D19" s="794" t="str">
        <f>IF(ISNUMBER(C19/Datos!BI19),C19/Datos!BI19," - ")</f>
        <v xml:space="preserve"> - </v>
      </c>
      <c r="E19" s="793">
        <f>SUBTOTAL(9,E9:E18)</f>
        <v>1807</v>
      </c>
      <c r="F19" s="794">
        <f>IF(ISNUMBER(E19/B19),E19/B19," - ")</f>
        <v>1807</v>
      </c>
      <c r="G19" s="793">
        <f>SUBTOTAL(9,G9:G18)</f>
        <v>1981</v>
      </c>
      <c r="H19" s="794">
        <f>IF(ISNUMBER(G19/B19),G19/B19," - ")</f>
        <v>1981</v>
      </c>
      <c r="I19" s="793">
        <f>SUBTOTAL(9,I9:I18)</f>
        <v>727</v>
      </c>
      <c r="J19" s="794">
        <f>IF(ISNUMBER(I19/B19),I19/B19," - ")</f>
        <v>727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c5E10c+wOIOtlsb6jnrBaZ/giJ0yqubWvCHaCOzpyjCu3RqerEoaB3L4nfTAUhOweh4bMZJjbdn61iOSzTsrg==" saltValue="MWXSPh1+3GGqDKreu/Yq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VILLAVICIOSA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4.4000000000000004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345</v>
      </c>
      <c r="AM12" s="689">
        <f>IF(ISNUMBER(Datos!N12+DatosP!N16),Datos!N12+DatosP!N16," - ")</f>
        <v>389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4.6108422071636008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0.1259351620947631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241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140</v>
      </c>
      <c r="AE13" s="938">
        <f t="shared" si="1"/>
        <v>0</v>
      </c>
      <c r="AF13" s="938">
        <f t="shared" si="1"/>
        <v>2</v>
      </c>
      <c r="AG13" s="938">
        <f t="shared" si="1"/>
        <v>0</v>
      </c>
      <c r="AH13" s="938">
        <f t="shared" si="1"/>
        <v>903</v>
      </c>
      <c r="AI13" s="938">
        <f t="shared" si="1"/>
        <v>0</v>
      </c>
      <c r="AJ13" s="938">
        <f t="shared" si="1"/>
        <v>0</v>
      </c>
      <c r="AK13" s="938">
        <f t="shared" si="1"/>
        <v>0</v>
      </c>
      <c r="AL13" s="938">
        <f t="shared" si="1"/>
        <v>345</v>
      </c>
      <c r="AM13" s="938">
        <f t="shared" si="1"/>
        <v>392</v>
      </c>
      <c r="AN13" s="938">
        <f t="shared" si="1"/>
        <v>0</v>
      </c>
      <c r="AO13" s="938">
        <f t="shared" si="1"/>
        <v>0</v>
      </c>
      <c r="AP13" s="943">
        <f>IF(ISNUMBER(((Datos!L13/Datos!K13)*11)/factor_trimestre),((Datos!L13/Datos!K13)*11)/factor_trimestre," - ")</f>
        <v>4.5936540429887414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0.1259351620947631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3.4061505832449628</v>
      </c>
      <c r="AQ18" s="943">
        <f>IF(ISNUMBER(((Datos!M18/Datos!L18)*11)/factor_trimestre),((Datos!M18/Datos!L18)*11)/factor_trimestre," - ")</f>
        <v>4.256849315068493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-0.2558139534883721</v>
      </c>
      <c r="AW18" s="945">
        <f>IF(ISNUMBER((Datos!Q18-Datos!R18)/(Datos!S18-Datos!Q18+Datos!R18)),(Datos!Q18-Datos!R18)/(Datos!S18-Datos!Q18+Datos!R18)," - ")</f>
        <v>2.359882005899705E-2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241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140</v>
      </c>
      <c r="AE19" s="956">
        <f t="shared" si="5"/>
        <v>0</v>
      </c>
      <c r="AF19" s="957">
        <f t="shared" si="5"/>
        <v>2</v>
      </c>
      <c r="AG19" s="957">
        <f t="shared" si="5"/>
        <v>0</v>
      </c>
      <c r="AH19" s="957">
        <f t="shared" si="5"/>
        <v>903</v>
      </c>
      <c r="AI19" s="957">
        <f t="shared" si="5"/>
        <v>0</v>
      </c>
      <c r="AJ19" s="958">
        <f t="shared" si="5"/>
        <v>0</v>
      </c>
      <c r="AK19" s="958">
        <f t="shared" si="5"/>
        <v>0</v>
      </c>
      <c r="AL19" s="950">
        <f t="shared" si="5"/>
        <v>345</v>
      </c>
      <c r="AM19" s="950">
        <f t="shared" si="5"/>
        <v>392</v>
      </c>
      <c r="AN19" s="950">
        <f t="shared" si="5"/>
        <v>0</v>
      </c>
      <c r="AO19" s="950">
        <f t="shared" si="5"/>
        <v>0</v>
      </c>
      <c r="AP19" s="950">
        <f>IF(ISNUMBER(((Datos!L19/Datos!K19)*11)/factor_trimestre),((Datos!L19/Datos!K19)*11)/factor_trimestre," - ")</f>
        <v>4.0104166666666661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0.10650887573964497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199.18584287042088</v>
      </c>
      <c r="AM21" s="735"/>
      <c r="AN21" s="735">
        <f>IF(ISNUMBER(STDEV(AN8:AN18)),STDEV(AN8:AN18),"-")</f>
        <v>0</v>
      </c>
      <c r="AO21" s="741">
        <f>IF(ISNUMBER(STDEV(AO8:AO18)),STDEV(AO8:AO18),"-")</f>
        <v>0</v>
      </c>
      <c r="AP21" s="778">
        <f>IF(ISNUMBER(STDEV(AP8:AP18)),STDEV(AP8:AP18),"-")</f>
        <v>0.57238061320700206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doabwpKx54gqb/gG5gtCmZ8SI98EY1pPG/d/MlRwLzWqRlmqNJ9/6XnPJq+4d4N2E1U3Ui5Sq7MjEojTKkVwg==" saltValue="DhqsR/eumjrykFPw7kFo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VILLAVICIOSA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Zt3ySGQlxtRmCIhVcS78W94kRqOaFMr0On/4DO1UlKz91vGOHK+szP6ux81JFbge37blTpGvtDo2uI0NO6Ixw==" saltValue="0KyduMHw9GtHCDKj0Ij3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VILLAVICIOSA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3</v>
      </c>
      <c r="G10" s="403">
        <f>IF(ISNUMBER(F10/B10),F10/B10," - ")</f>
        <v>3</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345</v>
      </c>
      <c r="E12" s="403">
        <f t="shared" si="0"/>
        <v>345</v>
      </c>
      <c r="F12" s="402">
        <f>IF(ISNUMBER(Datos!N12),Datos!N12," - ")</f>
        <v>389</v>
      </c>
      <c r="G12" s="403">
        <f t="shared" si="1"/>
        <v>389</v>
      </c>
      <c r="H12" s="402">
        <f>IF(ISNUMBER(Datos!O12),Datos!O12," - ")</f>
        <v>451</v>
      </c>
      <c r="I12" s="403">
        <f t="shared" si="2"/>
        <v>451</v>
      </c>
      <c r="BZ12" s="1185">
        <f>Datos!EZ12</f>
        <v>0</v>
      </c>
    </row>
    <row r="13" spans="1:78" ht="14.25" thickTop="1" thickBot="1">
      <c r="A13" s="847" t="str">
        <f>Datos!A13</f>
        <v>TOTAL</v>
      </c>
      <c r="B13" s="848">
        <f>Datos!AP13</f>
        <v>1</v>
      </c>
      <c r="C13" s="850">
        <f>Datos!AR13</f>
        <v>1</v>
      </c>
      <c r="D13" s="848">
        <f>SUBTOTAL(9,D9:D12)</f>
        <v>345</v>
      </c>
      <c r="E13" s="849">
        <f t="shared" si="0"/>
        <v>345</v>
      </c>
      <c r="F13" s="848">
        <f>SUBTOTAL(9,F9:F12)</f>
        <v>392</v>
      </c>
      <c r="G13" s="849">
        <f t="shared" si="1"/>
        <v>392</v>
      </c>
      <c r="H13" s="848">
        <f>SUBTOTAL(9,H9:H12)</f>
        <v>453</v>
      </c>
      <c r="I13" s="849">
        <f>IF(ISNUMBER(H13/B13),H13/B13," - ")</f>
        <v>453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103</v>
      </c>
      <c r="E16" s="403">
        <f t="shared" si="3"/>
        <v>103</v>
      </c>
      <c r="F16" s="402">
        <f>IF(ISNUMBER(Datos!N16),Datos!N16," - ")</f>
        <v>467</v>
      </c>
      <c r="G16" s="403">
        <f t="shared" si="4"/>
        <v>467</v>
      </c>
      <c r="H16" s="402">
        <f>IF(ISNUMBER(Datos!O16),Datos!O16," - ")</f>
        <v>35</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48</v>
      </c>
      <c r="G17" s="403">
        <f>IF(ISNUMBER(F17/B17),F17/B17," - ")</f>
        <v>48</v>
      </c>
      <c r="H17" s="402">
        <f>IF(ISNUMBER(Datos!O17),Datos!O17," - ")</f>
        <v>3</v>
      </c>
      <c r="I17" s="403">
        <f t="shared" si="5"/>
        <v>3</v>
      </c>
      <c r="BZ17" s="1185">
        <f>Datos!EZ17</f>
        <v>0</v>
      </c>
    </row>
    <row r="18" spans="1:78" ht="14.25" thickTop="1" thickBot="1">
      <c r="A18" s="847" t="str">
        <f>Datos!A18</f>
        <v>TOTAL</v>
      </c>
      <c r="B18" s="848">
        <f>Datos!AP18</f>
        <v>1</v>
      </c>
      <c r="C18" s="850">
        <f>Datos!AR18</f>
        <v>1</v>
      </c>
      <c r="D18" s="848">
        <f>SUBTOTAL(9,D15:D17)</f>
        <v>113</v>
      </c>
      <c r="E18" s="849">
        <f t="shared" si="3"/>
        <v>113</v>
      </c>
      <c r="F18" s="848">
        <f>SUBTOTAL(9,F15:F17)</f>
        <v>515</v>
      </c>
      <c r="G18" s="849">
        <f t="shared" si="4"/>
        <v>515</v>
      </c>
      <c r="H18" s="848">
        <f>SUBTOTAL(9,H15:H17)</f>
        <v>38</v>
      </c>
      <c r="I18" s="849">
        <f>IF(ISNUMBER(H18/B18),H18/B18," - ")</f>
        <v>38</v>
      </c>
      <c r="BZ18" s="1185"/>
    </row>
    <row r="19" spans="1:78" ht="14.25" thickTop="1" thickBot="1">
      <c r="A19" s="792" t="str">
        <f>Datos!A19</f>
        <v>TOTAL JURISDICCIONES</v>
      </c>
      <c r="B19" s="793">
        <f>Datos!AP19</f>
        <v>1</v>
      </c>
      <c r="C19" s="793">
        <f>Datos!AR19</f>
        <v>1</v>
      </c>
      <c r="D19" s="793">
        <f>SUBTOTAL(9,D8:D18)</f>
        <v>458</v>
      </c>
      <c r="E19" s="794">
        <f>IF(ISNUMBER(D19/B19),D19/B19," - ")</f>
        <v>458</v>
      </c>
      <c r="F19" s="793">
        <f>SUBTOTAL(9,F8:F18)</f>
        <v>907</v>
      </c>
      <c r="G19" s="794">
        <f>IF(ISNUMBER(F19/B19),F19/B19," - ")</f>
        <v>907</v>
      </c>
      <c r="H19" s="793">
        <f>SUBTOTAL(9,H8:H18)</f>
        <v>491</v>
      </c>
      <c r="I19" s="794">
        <f>IF(ISNUMBER(H19/B19),H19/B19," - ")</f>
        <v>491</v>
      </c>
    </row>
    <row r="22" spans="1:78">
      <c r="A22" s="390" t="str">
        <f>Criterios!A4</f>
        <v>Fecha Informe: 18 mar. 2026</v>
      </c>
    </row>
    <row r="27" spans="1:78">
      <c r="A27" s="413"/>
    </row>
  </sheetData>
  <sheetProtection algorithmName="SHA-512" hashValue="EbrSQALdr4JKBEkOw6NvL1FHvPXdza+TUnFVyyCEgIPfwf4SlSdQWD8IrbzS8N0OaM1etCVwh0pY/20qvnFyUw==" saltValue="Qa0vQ9MTMsoA28ExYo+Y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VILLAVICIOSA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241</v>
      </c>
      <c r="C12" s="433">
        <f>IF(ISNUMBER(Datos!Q12),Datos!Q12," - ")</f>
        <v>140</v>
      </c>
      <c r="D12" s="407">
        <f>IF(ISNUMBER(Datos!R12),Datos!R12," - ")</f>
        <v>903</v>
      </c>
    </row>
    <row r="13" spans="1:4" ht="14.25" thickTop="1" thickBot="1">
      <c r="A13" s="847" t="str">
        <f>Datos!A13</f>
        <v>TOTAL</v>
      </c>
      <c r="B13" s="848">
        <f>SUBTOTAL(9,B9:B12)</f>
        <v>241</v>
      </c>
      <c r="C13" s="852">
        <f>SUBTOTAL(9,C9:C12)</f>
        <v>140</v>
      </c>
      <c r="D13" s="850">
        <f>SUBTOTAL(9,D9:D12)</f>
        <v>903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37</v>
      </c>
      <c r="D16" s="407">
        <f>IF(ISNUMBER(Datos!R16),Datos!R16," - ")</f>
        <v>32</v>
      </c>
    </row>
    <row r="17" spans="1:4" ht="13.5" thickBot="1">
      <c r="A17" s="401" t="str">
        <f>Datos!A17</f>
        <v>Jdos. Violencia contra la mujer/Secc Viol. TI.</v>
      </c>
      <c r="B17" s="432">
        <f>IF(ISNUMBER(Datos!P17),Datos!P17," - ")</f>
        <v>2</v>
      </c>
      <c r="C17" s="433">
        <f>IF(ISNUMBER(Datos!Q17),Datos!Q17," - ")</f>
        <v>3</v>
      </c>
      <c r="D17" s="407">
        <f>IF(ISNUMBER(Datos!R17),Datos!R17," - ")</f>
        <v>0</v>
      </c>
    </row>
    <row r="18" spans="1:4" ht="14.25" thickTop="1" thickBot="1">
      <c r="A18" s="847" t="str">
        <f>Datos!A18</f>
        <v>TOTAL</v>
      </c>
      <c r="B18" s="848">
        <f>SUBTOTAL(9,B15:B17)</f>
        <v>29</v>
      </c>
      <c r="C18" s="852">
        <f>SUBTOTAL(9,C15:C17)</f>
        <v>40</v>
      </c>
      <c r="D18" s="850">
        <f>SUBTOTAL(9,D15:D17)</f>
        <v>32</v>
      </c>
    </row>
    <row r="19" spans="1:4" ht="16.5" customHeight="1" thickTop="1" thickBot="1">
      <c r="A19" s="792" t="str">
        <f>Datos!A19</f>
        <v>TOTAL JURISDICCIONES</v>
      </c>
      <c r="B19" s="797">
        <f>SUBTOTAL(9,B8:B18)</f>
        <v>270</v>
      </c>
      <c r="C19" s="798">
        <f>SUBTOTAL(9,C8:C18)</f>
        <v>180</v>
      </c>
      <c r="D19" s="799">
        <f>SUBTOTAL(9,D8:D18)</f>
        <v>935</v>
      </c>
    </row>
    <row r="20" spans="1:4" ht="7.5" customHeight="1"/>
    <row r="21" spans="1:4" ht="6" customHeight="1"/>
    <row r="22" spans="1:4">
      <c r="A22" s="390" t="str">
        <f>Criterios!A4</f>
        <v>Fecha Informe: 18 mar. 2026</v>
      </c>
    </row>
    <row r="27" spans="1:4">
      <c r="A27" s="413"/>
    </row>
  </sheetData>
  <sheetProtection algorithmName="SHA-512" hashValue="Qp2Et/gHDJUP2FgU4KiUyBB1FZjRVoEYu8UHRWJQ9wiwh1EDW2v2BF+8R5FDjQHh1gE2Yzph7wLHdprVPDFXSg==" saltValue="pIA34Mst3D5bQezicMWv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VILLAVICIOSA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6</v>
      </c>
      <c r="D10" s="455">
        <f>IF(ISNUMBER((Datos!K10-Datos!U10)/Datos!U10),(Datos!K10-Datos!U10)/Datos!U10," - ")</f>
        <v>4</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-0.2857142857142857</v>
      </c>
      <c r="I10" s="455" t="str">
        <f>IF(ISNUMBER(((NºAsuntos!I10/NºAsuntos!G10)-Datos!BE10)/Datos!BE10),((NºAsuntos!I10/NºAsuntos!G10)-Datos!BE10)/Datos!BE10," - ")</f>
        <v xml:space="preserve"> - </v>
      </c>
      <c r="J10" s="460">
        <f>IF(ISNUMBER((('Resol  Asuntos'!D10/NºAsuntos!G10)-Datos!BF10)/Datos!BF10),(('Resol  Asuntos'!D10/NºAsuntos!G10)-Datos!BF10)/Datos!BF10," - ")</f>
        <v>-1</v>
      </c>
      <c r="K10" s="461">
        <f>IF(ISNUMBER((((NºAsuntos!C10+NºAsuntos!E10)/NºAsuntos!G10)-Datos!BG10)/Datos!BG10),(((NºAsuntos!C10+NºAsuntos!E10)/NºAsuntos!G10)-Datos!BG10)/Datos!BG10," - ")</f>
        <v>0.39999999999999991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7.3122529644268769E-2</v>
      </c>
      <c r="C12" s="455">
        <f>IF(ISNUMBER(
   IF(J_V="SI",(Datos!J12-Datos!T12)/Datos!T12,(Datos!J12+Datos!Z12-(Datos!T12+Datos!AH12))/(Datos!T12+Datos!AH12))
     ),IF(J_V="SI",(Datos!J12-Datos!T12)/Datos!T12,(Datos!J12+Datos!Z12-(Datos!T12+Datos!AH12))/(Datos!T12+Datos!AH12))," - ")</f>
        <v>-2.6831785345717233E-2</v>
      </c>
      <c r="D12" s="455">
        <f>IF(ISNUMBER(
   IF(J_V="SI",(Datos!K12-Datos!U12)/Datos!U12,(Datos!K12+Datos!AA12-(Datos!U12+Datos!AI12))/(Datos!U12+Datos!AI12))
     ),IF(J_V="SI",(Datos!K12-Datos!U12)/Datos!U12,(Datos!K12+Datos!AA12-(Datos!U12+Datos!AI12))/(Datos!U12+Datos!AI12))," - ")</f>
        <v>0.10836909871244635</v>
      </c>
      <c r="E12" s="455">
        <f>IF(ISNUMBER(
   IF(J_V="SI",(Datos!L12-Datos!V12)/Datos!V12,(Datos!L12+Datos!AB12-(Datos!V12+Datos!AJ12))/(Datos!V12+Datos!AJ12))
     ),IF(J_V="SI",(Datos!L12-Datos!V12)/Datos!V12,(Datos!L12+Datos!AB12-(Datos!V12+Datos!AJ12))/(Datos!V12+Datos!AJ12))," - ")</f>
        <v>-0.20257826887661143</v>
      </c>
      <c r="F12" s="455">
        <f>IF(ISNUMBER((Datos!M12-Datos!W12)/Datos!W12),(Datos!M12-Datos!W12)/Datos!W12," - ")</f>
        <v>0.17346938775510204</v>
      </c>
      <c r="G12" s="456">
        <f>IF(ISNUMBER((Datos!N12-Datos!X12)/Datos!X12),(Datos!N12-Datos!X12)/Datos!X12," - ")</f>
        <v>0.1308139534883721</v>
      </c>
      <c r="H12" s="454">
        <f>IF(ISNUMBER(((NºAsuntos!G12/NºAsuntos!E12)-Datos!BD12)/Datos!BD12),((NºAsuntos!G12/NºAsuntos!E12)-Datos!BD12)/Datos!BD12," - ")</f>
        <v>0.13892858605764635</v>
      </c>
      <c r="I12" s="455">
        <f>IF(ISNUMBER(((NºAsuntos!I12/NºAsuntos!G12)-Datos!BE12)/Datos!BE12),((NºAsuntos!I12/NºAsuntos!G12)-Datos!BE12)/Datos!BE12," - ")</f>
        <v>-0.28054496281994368</v>
      </c>
      <c r="J12" s="460">
        <f>IF(ISNUMBER((('Resol  Asuntos'!D12/NºAsuntos!G12)-Datos!BF12)/Datos!BF12),(('Resol  Asuntos'!D12/NºAsuntos!G12)-Datos!BF12)/Datos!BF12," - ")</f>
        <v>-9.5150723789369507E-2</v>
      </c>
      <c r="K12" s="461">
        <f>IF(ISNUMBER((((NºAsuntos!C12+NºAsuntos!E12)/NºAsuntos!G12)-Datos!BG12)/Datos!BG12),(((NºAsuntos!C12+NºAsuntos!E12)/NºAsuntos!G12)-Datos!BG12)/Datos!BG12," - ")</f>
        <v>-9.1045006316963939E-2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7.3122529644268769E-2</v>
      </c>
      <c r="C13" s="854">
        <f>IF(ISNUMBER(
   IF(J_V="SI",(Datos!J13-Datos!T13)/Datos!T13,(Datos!J13+Datos!Z13-(Datos!T13+Datos!AH13))/(Datos!T13+Datos!AH13))
     ),IF(J_V="SI",(Datos!J13-Datos!T13)/Datos!T13,(Datos!J13+Datos!Z13-(Datos!T13+Datos!AH13))/(Datos!T13+Datos!AH13))," - ")</f>
        <v>-2.0618556701030927E-2</v>
      </c>
      <c r="D13" s="854">
        <f>IF(ISNUMBER(
   IF(J_V="SI",(Datos!K13-Datos!U13)/Datos!U13,(Datos!K13+Datos!AA13-(Datos!U13+Datos!AI13))/(Datos!U13+Datos!AI13))
     ),IF(J_V="SI",(Datos!K13-Datos!U13)/Datos!U13,(Datos!K13+Datos!AA13-(Datos!U13+Datos!AI13))/(Datos!U13+Datos!AI13))," - ")</f>
        <v>0.11254019292604502</v>
      </c>
      <c r="E13" s="854">
        <f>IF(ISNUMBER(
   IF(J_V="SI",(Datos!L13-Datos!V13)/Datos!V13,(Datos!L13+Datos!AB13-(Datos!V13+Datos!AJ13))/(Datos!V13+Datos!AJ13))
     ),IF(J_V="SI",(Datos!L13-Datos!V13)/Datos!V13,(Datos!L13+Datos!AB13-(Datos!V13+Datos!AJ13))/(Datos!V13+Datos!AJ13))," - ")</f>
        <v>-0.19889502762430938</v>
      </c>
      <c r="F13" s="855">
        <f>IF(ISNUMBER((Datos!M13-Datos!W13)/Datos!W13),(Datos!M13-Datos!W13)/Datos!W13," - ")</f>
        <v>0.16949152542372881</v>
      </c>
      <c r="G13" s="856">
        <f>IF(ISNUMBER((Datos!N13-Datos!X13)/Datos!X13),(Datos!N13-Datos!X13)/Datos!X13," - ")</f>
        <v>0.13953488372093023</v>
      </c>
      <c r="H13" s="856">
        <f>IF(ISNUMBER(((NºAsuntos!G13/NºAsuntos!E13)-Datos!BD13)/Datos!BD13),((NºAsuntos!G13/NºAsuntos!E13)-Datos!BD13)/Datos!BD13," - ")</f>
        <v>0.135962091724488</v>
      </c>
      <c r="I13" s="856">
        <f>IF(ISNUMBER(((NºAsuntos!I13/NºAsuntos!G13)-Datos!BE13)/Datos!BE13),((NºAsuntos!I13/NºAsuntos!G13)-Datos!BE13)/Datos!BE13," - ")</f>
        <v>-0.27993165777791967</v>
      </c>
      <c r="J13" s="856">
        <f>IF(ISNUMBER((('Resol  Asuntos'!D13/NºAsuntos!G13)-Datos!BF13)/Datos!BF13),(('Resol  Asuntos'!D13/NºAsuntos!G13)-Datos!BF13)/Datos!BF13," - ")</f>
        <v>-0.10115606936416198</v>
      </c>
      <c r="K13" s="856">
        <f>IF(ISNUMBER((((NºAsuntos!C13+NºAsuntos!E13)/NºAsuntos!G13)-Datos!BG13)/Datos!BG13),(((NºAsuntos!C13+NºAsuntos!E13)/NºAsuntos!G13)-Datos!BG13)/Datos!BG13," - ")</f>
        <v>-9.0803530867678534E-2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6.0606060606060606E-3</v>
      </c>
      <c r="C16" s="455">
        <f>IF(ISNUMBER(
   IF(D_I="SI",(Datos!J16-Datos!T16)/Datos!T16,(Datos!J16+Datos!AD16-(Datos!T16+Datos!AL16))/(Datos!T16+Datos!AL16))
     ),IF(D_I="SI",(Datos!J16-Datos!T16)/Datos!T16,(Datos!J16+Datos!AD16-(Datos!T16+Datos!AL16))/(Datos!T16+Datos!AL16))," - ")</f>
        <v>-2.6751592356687899E-2</v>
      </c>
      <c r="D16" s="455">
        <f>IF(ISNUMBER(
   IF(D_I="SI",(Datos!K16-Datos!U16)/Datos!U16,(Datos!K16+Datos!AE16-(Datos!U16+Datos!AM16))/(Datos!U16+Datos!AM16))
     ),IF(D_I="SI",(Datos!K16-Datos!U16)/Datos!U16,(Datos!K16+Datos!AE16-(Datos!U16+Datos!AM16))/(Datos!U16+Datos!AM16))," - ")</f>
        <v>0.21264367816091953</v>
      </c>
      <c r="E16" s="455">
        <f>IF(ISNUMBER(
   IF(D_I="SI",(Datos!L16-Datos!V16)/Datos!V16,(Datos!L16+Datos!AF16-(Datos!V16+Datos!AN16))/(Datos!V16+Datos!AN16))
     ),IF(D_I="SI",(Datos!L16-Datos!V16)/Datos!V16,(Datos!L16+Datos!AF16-(Datos!V16+Datos!AN16))/(Datos!V16+Datos!AN16))," - ")</f>
        <v>-0.18674698795180722</v>
      </c>
      <c r="F16" s="455">
        <f>IF(ISNUMBER((Datos!M16-Datos!W16)/Datos!W16),(Datos!M16-Datos!W16)/Datos!W16," - ")</f>
        <v>-0.1889763779527559</v>
      </c>
      <c r="G16" s="456">
        <f>IF(ISNUMBER((Datos!N16-Datos!X16)/Datos!X16),(Datos!N16-Datos!X16)/Datos!X16," - ")</f>
        <v>0.22894736842105262</v>
      </c>
      <c r="H16" s="454">
        <f>IF(ISNUMBER(((NºAsuntos!G16/NºAsuntos!E16)-Datos!BD16)/Datos!BD16),((NºAsuntos!G16/NºAsuntos!E16)-Datos!BD16)/Datos!BD16," - ")</f>
        <v>0.24597550701089255</v>
      </c>
      <c r="I16" s="455">
        <f>IF(ISNUMBER(((NºAsuntos!I16/NºAsuntos!G16)-Datos!BE16)/Datos!BE16),((NºAsuntos!I16/NºAsuntos!G16)-Datos!BE16)/Datos!BE16," - ")</f>
        <v>-0.32935533603608752</v>
      </c>
      <c r="J16" s="460">
        <f>IF(ISNUMBER((('Resol  Asuntos'!D16/NºAsuntos!G16)-Datos!BF16)/Datos!BF16),(('Resol  Asuntos'!D16/NºAsuntos!G16)-Datos!BF16)/Datos!BF16," - ")</f>
        <v>-0.33119379034966606</v>
      </c>
      <c r="K16" s="461">
        <f>IF(ISNUMBER((((NºAsuntos!C16+NºAsuntos!E16)/NºAsuntos!G16)-Datos!BG16)/Datos!BG16),(((NºAsuntos!C16+NºAsuntos!E16)/NºAsuntos!G16)-Datos!BG16)/Datos!BG16," - ")</f>
        <v>-0.18940768920153866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0.52941176470588236</v>
      </c>
      <c r="C17" s="455">
        <f>IF(ISNUMBER(
   IF(D_I="SI",(Datos!J17-Datos!T17)/Datos!T17,(Datos!J17+Datos!AD17-(Datos!T17+Datos!AL17))/(Datos!T17+Datos!AL17))
     ),IF(D_I="SI",(Datos!J17-Datos!T17)/Datos!T17,(Datos!J17+Datos!AD17-(Datos!T17+Datos!AL17))/(Datos!T17+Datos!AL17))," - ")</f>
        <v>2.197802197802198E-2</v>
      </c>
      <c r="D17" s="455">
        <f>IF(ISNUMBER(
   IF(D_I="SI",(Datos!K17-Datos!U17)/Datos!U17,(Datos!K17+Datos!AE17-(Datos!U17+Datos!AM17))/(Datos!U17+Datos!AM17))
     ),IF(D_I="SI",(Datos!K17-Datos!U17)/Datos!U17,(Datos!K17+Datos!AE17-(Datos!U17+Datos!AM17))/(Datos!U17+Datos!AM17))," - ")</f>
        <v>0.2073170731707317</v>
      </c>
      <c r="E17" s="455">
        <f>IF(ISNUMBER(
   IF(D_I="SI",(Datos!L17-Datos!V17)/Datos!V17,(Datos!L17+Datos!AF17-(Datos!V17+Datos!AN17))/(Datos!V17+Datos!AN17))
     ),IF(D_I="SI",(Datos!L17-Datos!V17)/Datos!V17,(Datos!L17+Datos!AF17-(Datos!V17+Datos!AN17))/(Datos!V17+Datos!AN17))," - ")</f>
        <v>-0.15384615384615385</v>
      </c>
      <c r="F17" s="455">
        <f>IF(ISNUMBER((Datos!M17-Datos!W17)/Datos!W17),(Datos!M17-Datos!W17)/Datos!W17," - ")</f>
        <v>1.5</v>
      </c>
      <c r="G17" s="456">
        <f>IF(ISNUMBER((Datos!N17-Datos!X17)/Datos!X17),(Datos!N17-Datos!X17)/Datos!X17," - ")</f>
        <v>0.17073170731707318</v>
      </c>
      <c r="H17" s="454">
        <f>IF(ISNUMBER(((NºAsuntos!G17/NºAsuntos!E17)-Datos!BD17)/Datos!BD17),((NºAsuntos!G17/NºAsuntos!E17)-Datos!BD17)/Datos!BD17," - ")</f>
        <v>0.18135326514555458</v>
      </c>
      <c r="I17" s="455">
        <f>IF(ISNUMBER(((NºAsuntos!I17/NºAsuntos!G17)-Datos!BE17)/Datos!BE17),((NºAsuntos!I17/NºAsuntos!G17)-Datos!BE17)/Datos!BE17," - ")</f>
        <v>-0.29914529914529919</v>
      </c>
      <c r="J17" s="460">
        <f>IF(ISNUMBER((('Resol  Asuntos'!D17/NºAsuntos!G17)-Datos!BF17)/Datos!BF17),(('Resol  Asuntos'!D17/NºAsuntos!G17)-Datos!BF17)/Datos!BF17," - ")</f>
        <v>1.0707070707070705</v>
      </c>
      <c r="K17" s="461">
        <f>IF(ISNUMBER((((NºAsuntos!C17+NºAsuntos!E17)/NºAsuntos!G17)-Datos!BG17)/Datos!BG17),(((NºAsuntos!C17+NºAsuntos!E17)/NºAsuntos!G17)-Datos!BG17)/Datos!BG17," - ")</f>
        <v>-8.7355031799476304E-2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3.1700288184438041E-2</v>
      </c>
      <c r="C18" s="854">
        <f>IF(ISNUMBER(
   IF(Criterios!B14="SI",(Datos!J18-Datos!T18)/Datos!T18,(Datos!J18+Datos!AD18-(Datos!T18+Datos!AL18))/(Datos!T18+Datos!AL18))
     ),IF(Criterios!B14="SI",(Datos!J18-Datos!T18)/Datos!T18,(Datos!J18+Datos!AD18-(Datos!T18+Datos!AL18))/(Datos!T18+Datos!AL18))," - ")</f>
        <v>-2.1689497716894976E-2</v>
      </c>
      <c r="D18" s="854">
        <f>IF(ISNUMBER(
   IF(Criterios!B14="SI",(Datos!K18-Datos!U18)/Datos!U18,(Datos!K18+Datos!AE18-(Datos!U18+Datos!AM18))/(Datos!U18+Datos!AM18))
     ),IF(Criterios!B14="SI",(Datos!K18-Datos!U18)/Datos!U18,(Datos!K18+Datos!AE18-(Datos!U18+Datos!AM18))/(Datos!U18+Datos!AM18))," - ")</f>
        <v>0.2120822622107969</v>
      </c>
      <c r="E18" s="854">
        <f>IF(ISNUMBER(
   IF(Criterios!B14="SI",(Datos!L18-Datos!V18)/Datos!V18,(Datos!L18+Datos!AF18-(Datos!V18+Datos!AN18))/(Datos!V18+Datos!AN18))
     ),IF(Criterios!B14="SI",(Datos!L18-Datos!V18)/Datos!V18,(Datos!L18+Datos!AF18-(Datos!V18+Datos!AN18))/(Datos!V18+Datos!AN18))," - ")</f>
        <v>-0.18435754189944134</v>
      </c>
      <c r="F18" s="855">
        <f>IF(ISNUMBER((Datos!M18-Datos!W18)/Datos!W18),(Datos!M18-Datos!W18)/Datos!W18," - ")</f>
        <v>-0.13740458015267176</v>
      </c>
      <c r="G18" s="856">
        <f>IF(ISNUMBER((Datos!N18-Datos!X18)/Datos!X18),(Datos!N18-Datos!X18)/Datos!X18," - ")</f>
        <v>0.22327790973871733</v>
      </c>
      <c r="H18" s="856">
        <f>IF(ISNUMBER(((NºAsuntos!G18/NºAsuntos!E18)-Datos!BD18)/Datos!BD18),((NºAsuntos!G18/NºAsuntos!E18)-Datos!BD18)/Datos!BD18," - ")</f>
        <v>0.23895456440683557</v>
      </c>
      <c r="I18" s="856">
        <f>IF(ISNUMBER(((NºAsuntos!I18/NºAsuntos!G18)-Datos!BE18)/Datos!BE18),((NºAsuntos!I18/NºAsuntos!G18)-Datos!BE18)/Datos!BE18," - ")</f>
        <v>-0.32707334845998454</v>
      </c>
      <c r="J18" s="856">
        <f>IF(ISNUMBER((('Resol  Asuntos'!D18/NºAsuntos!G18)-Datos!BF18)/Datos!BF18),(('Resol  Asuntos'!D18/NºAsuntos!G18)-Datos!BF18)/Datos!BF18," - ")</f>
        <v>-0.28833591024260719</v>
      </c>
      <c r="K18" s="856">
        <f>IF(ISNUMBER((((NºAsuntos!C18+NºAsuntos!E18)/NºAsuntos!G18)-Datos!BG18)/Datos!BG18),(((NºAsuntos!C18+NºAsuntos!E18)/NºAsuntos!G18)-Datos!BG18)/Datos!BG18," - ")</f>
        <v>-0.18037022810414391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5.6271981242672922E-2</v>
      </c>
      <c r="C19" s="801">
        <f>IF(ISNUMBER(
   IF(J_V="SI",(Datos!J19-Datos!T19)/Datos!T19,(Datos!J19+Datos!Z19-(Datos!T19+Datos!AH19))/(Datos!T19+Datos!AH19))
     ),IF(J_V="SI",(Datos!J19-Datos!T19)/Datos!T19,(Datos!J19+Datos!Z19-(Datos!T19+Datos!AH19))/(Datos!T19+Datos!AH19))," - ")</f>
        <v>-2.1126760563380281E-2</v>
      </c>
      <c r="D19" s="801">
        <f>IF(ISNUMBER(
   IF(J_V="SI",(Datos!K19-Datos!U19)/Datos!U19,(Datos!K19+Datos!AA19-(Datos!U19+Datos!AI19))/(Datos!U19+Datos!AI19))
     ),IF(J_V="SI",(Datos!K19-Datos!U19)/Datos!U19,(Datos!K19+Datos!AA19-(Datos!U19+Datos!AI19))/(Datos!U19+Datos!AI19))," - ")</f>
        <v>0.15780245470485096</v>
      </c>
      <c r="E19" s="801">
        <f>IF(ISNUMBER(
   IF(J_V="SI",(Datos!L19-Datos!V19)/Datos!V19,(Datos!L19+Datos!AB19-(Datos!V19+Datos!AJ19))/(Datos!V19+Datos!AJ19))
     ),IF(J_V="SI",(Datos!L19-Datos!V19)/Datos!V19,(Datos!L19+Datos!AB19-(Datos!V19+Datos!AJ19))/(Datos!V19+Datos!AJ19))," - ")</f>
        <v>-0.19311875693673697</v>
      </c>
      <c r="F19" s="802">
        <f>IF(ISNUMBER((Datos!M19-Datos!W19)/Datos!W19),(Datos!M19-Datos!W19)/Datos!W19," - ")</f>
        <v>7.5117370892018781E-2</v>
      </c>
      <c r="G19" s="803">
        <f>IF(ISNUMBER((Datos!N19-Datos!X19)/Datos!X19),(Datos!N19-Datos!X19)/Datos!X19," - ")</f>
        <v>0.18562091503267975</v>
      </c>
      <c r="H19" s="804">
        <f>IF(ISNUMBER((Tasas!B19-Datos!BD19)/Datos!BD19),(Tasas!B19-Datos!BD19)/Datos!BD19," - ")</f>
        <v>0.18279099689272546</v>
      </c>
      <c r="I19" s="805">
        <f>IF(ISNUMBER((Tasas!C19-Datos!BE19)/Datos!BE19),(Tasas!C19-Datos!BE19)/Datos!BE19," - ")</f>
        <v>-0.30309247507256787</v>
      </c>
      <c r="J19" s="806">
        <f>IF(ISNUMBER((Tasas!D19-Datos!BF19)/Datos!BF19),(Tasas!D19-Datos!BF19)/Datos!BF19," - ")</f>
        <v>-0.16895592159125136</v>
      </c>
      <c r="K19" s="806">
        <f>IF(ISNUMBER((Tasas!E19-Datos!BG19)/Datos!BG19),(Tasas!E19-Datos!BG19)/Datos!BG19," - ")</f>
        <v>-0.13341471657665191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tlOmjmTd+uGp1DSaIVNIjeHw6O9H584V42tWmy4Pk4JXWUEkQwzlWcI6eHlhAyQNSms+QoaUVFm/D8hLrqB3w==" saltValue="xq3AWciOUqRQMvIdy/CL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VILLAVICIOSA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0.7142857142857143</v>
      </c>
      <c r="C10" s="442">
        <f>IF(ISNUMBER(NºAsuntos!I10/NºAsuntos!G10),NºAsuntos!I10/NºAsuntos!G10," - ")</f>
        <v>0.4</v>
      </c>
      <c r="D10" s="443">
        <f>IF(ISNUMBER('Resol  Asuntos'!D10/NºAsuntos!G10),'Resol  Asuntos'!D10/NºAsuntos!G10," - ")</f>
        <v>0</v>
      </c>
      <c r="E10" s="444">
        <f>IF(ISNUMBER((NºAsuntos!C10+NºAsuntos!E10)/NºAsuntos!G10),(NºAsuntos!C10+NºAsuntos!E10)/NºAsuntos!G10," - ")</f>
        <v>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1.0954400848356309</v>
      </c>
      <c r="C12" s="442">
        <f>IF(ISNUMBER(NºAsuntos!I12/NºAsuntos!G12),NºAsuntos!I12/NºAsuntos!G12," - ")</f>
        <v>0.41916747337850918</v>
      </c>
      <c r="D12" s="443">
        <f>IF(ISNUMBER('Resol  Asuntos'!D12/NºAsuntos!G12),'Resol  Asuntos'!D12/NºAsuntos!G12," - ")</f>
        <v>0.3339787028073572</v>
      </c>
      <c r="E12" s="444">
        <f>IF(ISNUMBER((NºAsuntos!C12+NºAsuntos!E12)/NºAsuntos!G12),(NºAsuntos!C12+NºAsuntos!E12)/NºAsuntos!G12," - ")</f>
        <v>1.4385285575992255</v>
      </c>
      <c r="G12" s="462"/>
    </row>
    <row r="13" spans="1:7" ht="14.25" thickTop="1" thickBot="1">
      <c r="A13" s="847" t="str">
        <f>Datos!A13</f>
        <v>TOTAL</v>
      </c>
      <c r="B13" s="857">
        <f>IF(ISNUMBER(NºAsuntos!G13/NºAsuntos!E13),NºAsuntos!G13/NºAsuntos!E13," - ")</f>
        <v>1.0926315789473684</v>
      </c>
      <c r="C13" s="858">
        <f>IF(ISNUMBER(NºAsuntos!I13/NºAsuntos!G13),NºAsuntos!I13/NºAsuntos!G13," - ")</f>
        <v>0.41907514450867051</v>
      </c>
      <c r="D13" s="859">
        <f>IF(ISNUMBER('Resol  Asuntos'!D13/NºAsuntos!G13),'Resol  Asuntos'!D13/NºAsuntos!G13," - ")</f>
        <v>0.33236994219653176</v>
      </c>
      <c r="E13" s="860">
        <f>IF(ISNUMBER((NºAsuntos!C13+NºAsuntos!E13)/NºAsuntos!G13),(NºAsuntos!C13+NºAsuntos!E13)/NºAsuntos!G13," - ")</f>
        <v>1.4383429672447015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1.1047120418848169</v>
      </c>
      <c r="C16" s="442">
        <f>IF(ISNUMBER(NºAsuntos!I16/NºAsuntos!G16),NºAsuntos!I16/NºAsuntos!G16," - ")</f>
        <v>0.31990521327014215</v>
      </c>
      <c r="D16" s="443">
        <f>IF(ISNUMBER('Resol  Asuntos'!D16/NºAsuntos!G16),'Resol  Asuntos'!D16/NºAsuntos!G16," - ")</f>
        <v>0.12203791469194313</v>
      </c>
      <c r="E16" s="444">
        <f>IF(ISNUMBER((NºAsuntos!C16+NºAsuntos!E16)/NºAsuntos!G16),(NºAsuntos!C16+NºAsuntos!E16)/NºAsuntos!G16," - ")</f>
        <v>1.2985781990521328</v>
      </c>
      <c r="G16" s="462"/>
    </row>
    <row r="17" spans="1:7" ht="21.75" thickBot="1">
      <c r="A17" s="401" t="str">
        <f>Datos!A17</f>
        <v>Jdos. Violencia contra la mujer/Secc Viol. TI.</v>
      </c>
      <c r="B17" s="441">
        <f>IF(ISNUMBER(NºAsuntos!G17/NºAsuntos!E17),NºAsuntos!G17/NºAsuntos!E17," - ")</f>
        <v>1.064516129032258</v>
      </c>
      <c r="C17" s="442">
        <f>IF(ISNUMBER(NºAsuntos!I17/NºAsuntos!G17),NºAsuntos!I17/NºAsuntos!G17," - ")</f>
        <v>0.22222222222222221</v>
      </c>
      <c r="D17" s="443">
        <f>IF(ISNUMBER('Resol  Asuntos'!D17/NºAsuntos!G17),'Resol  Asuntos'!D17/NºAsuntos!G17," - ")</f>
        <v>0.10101010101010101</v>
      </c>
      <c r="E17" s="444">
        <f>IF(ISNUMBER((NºAsuntos!C17+NºAsuntos!E17)/NºAsuntos!G17),(NºAsuntos!C17+NºAsuntos!E17)/NºAsuntos!G17," - ")</f>
        <v>1.202020202020202</v>
      </c>
      <c r="G17" s="462"/>
    </row>
    <row r="18" spans="1:7" ht="14.25" thickTop="1" thickBot="1">
      <c r="A18" s="847" t="str">
        <f>Datos!A18</f>
        <v>TOTAL</v>
      </c>
      <c r="B18" s="857">
        <f>IF(ISNUMBER(NºAsuntos!G18/NºAsuntos!E18),NºAsuntos!G18/NºAsuntos!E18," - ")</f>
        <v>1.1003500583430572</v>
      </c>
      <c r="C18" s="858">
        <f>IF(ISNUMBER(NºAsuntos!I18/NºAsuntos!G18),NºAsuntos!I18/NºAsuntos!G18," - ")</f>
        <v>0.30965005302226933</v>
      </c>
      <c r="D18" s="861">
        <f>IF(ISNUMBER('Resol  Asuntos'!D18/NºAsuntos!G18),'Resol  Asuntos'!D18/NºAsuntos!G18," - ")</f>
        <v>0.11983032873806999</v>
      </c>
      <c r="E18" s="860">
        <f>IF(ISNUMBER((NºAsuntos!C18+NºAsuntos!E18)/NºAsuntos!G18),(NºAsuntos!C18+NºAsuntos!E18)/NºAsuntos!G18," - ")</f>
        <v>1.2884411452810181</v>
      </c>
      <c r="G18" s="462"/>
    </row>
    <row r="19" spans="1:7" ht="15.75" customHeight="1" thickTop="1" thickBot="1">
      <c r="A19" s="792" t="str">
        <f>Datos!A19</f>
        <v>TOTAL JURISDICCIONES</v>
      </c>
      <c r="B19" s="807">
        <f>IF(ISNUMBER(NºAsuntos!G19/NºAsuntos!E19),NºAsuntos!G19/NºAsuntos!E19," - ")</f>
        <v>1.0962921970116215</v>
      </c>
      <c r="C19" s="808">
        <f>IF(ISNUMBER(NºAsuntos!I19/NºAsuntos!G19),NºAsuntos!I19/NºAsuntos!G19," - ")</f>
        <v>0.36698637051993943</v>
      </c>
      <c r="D19" s="809">
        <f>IF(ISNUMBER('Resol  Asuntos'!D19/NºAsuntos!G19),'Resol  Asuntos'!D19/NºAsuntos!G19," - ")</f>
        <v>0.23119636547198386</v>
      </c>
      <c r="E19" s="810">
        <f>IF(ISNUMBER((NºAsuntos!C19+NºAsuntos!E19)/NºAsuntos!G19),(NºAsuntos!C19+NºAsuntos!E19)/NºAsuntos!G19," - ")</f>
        <v>1.3669863705199394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QTRTVaNUdhRyv1XKsv9c7kycgAvgmRZFRSd6L7LsqqbauzbjyzOTe2nWXlO91h2PcbAujYXXOpUb4TZoxlrCw==" saltValue="CRKWVzg3tvOA+6xAAIDS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VILLAVICIOSA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0.7142857142857143</v>
      </c>
      <c r="AM10" s="259">
        <f>IF(ISNUMBER(((NºAsuntos!I10/NºAsuntos!G10)*11)/factor_trimestre),((NºAsuntos!I10/NºAsuntos!G10)*11)/factor_trimestre," - ")</f>
        <v>4.4000000000000004</v>
      </c>
      <c r="AN10" s="243">
        <f>IF(ISNUMBER('Resol  Asuntos'!D10/NºAsuntos!G10),'Resol  Asuntos'!D10/NºAsuntos!G10," - ")</f>
        <v>0</v>
      </c>
      <c r="AO10" s="244">
        <f>IF(ISNUMBER((NºAsuntos!C10+NºAsuntos!E10)/NºAsuntos!G10),(NºAsuntos!C10+NºAsuntos!E10)/NºAsuntos!G10," - ")</f>
        <v>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140</v>
      </c>
      <c r="Y12" s="333">
        <f t="shared" si="0"/>
        <v>140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345</v>
      </c>
      <c r="AJ12" s="228" t="str">
        <f>IF(ISNUMBER(Datos!BW12),Datos!BW12," - ")</f>
        <v xml:space="preserve"> - </v>
      </c>
      <c r="AK12" s="227" t="str">
        <f>IF(ISNUMBER(Datos!BX12),Datos!BX12," - ")</f>
        <v xml:space="preserve"> - </v>
      </c>
      <c r="AL12" s="242">
        <f>IF(ISNUMBER(NºAsuntos!G12/NºAsuntos!E12),NºAsuntos!G12/NºAsuntos!E12," - ")</f>
        <v>1.0954400848356309</v>
      </c>
      <c r="AM12" s="259">
        <f>IF(ISNUMBER(((NºAsuntos!I12/NºAsuntos!G12)*11)/factor_trimestre),((NºAsuntos!I12/NºAsuntos!G12)*11)/factor_trimestre," - ")</f>
        <v>4.6108422071636008</v>
      </c>
      <c r="AN12" s="243">
        <f>IF(ISNUMBER('Resol  Asuntos'!D12/NºAsuntos!G12),'Resol  Asuntos'!D12/NºAsuntos!G12," - ")</f>
        <v>0.3339787028073572</v>
      </c>
      <c r="AO12" s="244">
        <f>IF(ISNUMBER((NºAsuntos!C12+NºAsuntos!E12)/NºAsuntos!G12),(NºAsuntos!C12+NºAsuntos!E12)/NºAsuntos!G12," - ")</f>
        <v>1.4385285575992255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241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140</v>
      </c>
      <c r="Y13" s="867">
        <f t="shared" si="4"/>
        <v>145</v>
      </c>
      <c r="Z13" s="867">
        <f t="shared" si="4"/>
        <v>0</v>
      </c>
      <c r="AA13" s="867">
        <f t="shared" si="4"/>
        <v>2</v>
      </c>
      <c r="AB13" s="867">
        <f t="shared" si="4"/>
        <v>903</v>
      </c>
      <c r="AC13" s="867">
        <f t="shared" si="4"/>
        <v>2</v>
      </c>
      <c r="AD13" s="867">
        <f t="shared" si="4"/>
        <v>0</v>
      </c>
      <c r="AE13" s="871">
        <f t="shared" si="4"/>
        <v>0</v>
      </c>
      <c r="AF13" s="864">
        <f t="shared" si="4"/>
        <v>0</v>
      </c>
      <c r="AG13" s="872">
        <f t="shared" si="4"/>
        <v>0</v>
      </c>
      <c r="AH13" s="869">
        <f t="shared" si="4"/>
        <v>0</v>
      </c>
      <c r="AI13" s="864">
        <f t="shared" si="4"/>
        <v>345</v>
      </c>
      <c r="AJ13" s="866">
        <f t="shared" si="4"/>
        <v>0</v>
      </c>
      <c r="AK13" s="869">
        <f>SUBTOTAL(9,AK9:AK12)</f>
        <v>0</v>
      </c>
      <c r="AL13" s="873">
        <f>IF(ISNUMBER(NºAsuntos!G13/NºAsuntos!E13),NºAsuntos!G13/NºAsuntos!E13," - ")</f>
        <v>1.0926315789473684</v>
      </c>
      <c r="AM13" s="873">
        <f>IF(ISNUMBER(((NºAsuntos!I13/NºAsuntos!G13)*11)/factor_trimestre),((NºAsuntos!I13/NºAsuntos!G13)*11)/factor_trimestre," - ")</f>
        <v>4.6098265895953752</v>
      </c>
      <c r="AN13" s="874">
        <f>IF(ISNUMBER('Resol  Asuntos'!D13/NºAsuntos!G13),'Resol  Asuntos'!D13/NºAsuntos!G13," - ")</f>
        <v>0.33236994219653176</v>
      </c>
      <c r="AO13" s="875">
        <f>IF(ISNUMBER((NºAsuntos!C13+NºAsuntos!E13)/NºAsuntos!G13),(NºAsuntos!C13+NºAsuntos!E13)/NºAsuntos!G13," - ")</f>
        <v>1.4383429672447015</v>
      </c>
      <c r="AP13" s="876" t="str">
        <f t="shared" si="2"/>
        <v xml:space="preserve"> - </v>
      </c>
      <c r="AQ13" s="876" t="str">
        <f>IF(ISNUMBER((H13-W13+K13)/(F13)),(H13-W13+K13)/(F13)," - ")</f>
        <v xml:space="preserve"> - </v>
      </c>
      <c r="AR13" s="877">
        <f>IF(ISNUMBER((Datos!P13-Datos!Q13)/(Datos!R13-Datos!P13+Datos!Q13)),(Datos!P13-Datos!Q13)/(Datos!R13-Datos!P13+Datos!Q13)," - ")</f>
        <v>0.1259351620947631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350</v>
      </c>
      <c r="G16" s="332">
        <f>IF(ISNUMBER(IF(D_I="SI",Datos!I16,Datos!I16+Datos!AC16)),IF(D_I="SI",Datos!I16,Datos!I16+Datos!AC16)," - ")</f>
        <v>332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844</v>
      </c>
      <c r="X16" s="225">
        <f>IF(ISNUMBER(Datos!Q16),Datos!Q16," - ")</f>
        <v>37</v>
      </c>
      <c r="Y16" s="333">
        <f t="shared" ref="Y16:Y17" si="7">SUM(W16:X16)</f>
        <v>881</v>
      </c>
      <c r="Z16" s="334" t="str">
        <f>IF(ISNUMBER(Datos!CC16),Datos!CC16," - ")</f>
        <v xml:space="preserve"> - </v>
      </c>
      <c r="AA16" s="331">
        <f>IF(ISNUMBER(IF(D_I="SI",Datos!L16,Datos!L16+Datos!AF16)),IF(D_I="SI",Datos!L16,Datos!L16+Datos!AF16)," - ")</f>
        <v>270</v>
      </c>
      <c r="AB16" s="333">
        <f>IF(ISNUMBER(Datos!R16),Datos!R16," - ")</f>
        <v>32</v>
      </c>
      <c r="AC16" s="333">
        <f t="shared" si="6"/>
        <v>302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103</v>
      </c>
      <c r="AJ16" s="230" t="str">
        <f>IF(ISNUMBER(Datos!BW16),Datos!BW16," - ")</f>
        <v xml:space="preserve"> - </v>
      </c>
      <c r="AK16" s="231" t="str">
        <f>IF(ISNUMBER(Datos!BX16),Datos!BX16," - ")</f>
        <v xml:space="preserve"> - </v>
      </c>
      <c r="AL16" s="242">
        <f>IF(ISNUMBER(NºAsuntos!G16/NºAsuntos!E16),NºAsuntos!G16/NºAsuntos!E16," - ")</f>
        <v>1.1047120418848169</v>
      </c>
      <c r="AM16" s="259">
        <f>IF(ISNUMBER(((NºAsuntos!I16/NºAsuntos!G16)*11)/factor_trimestre),((NºAsuntos!I16/NºAsuntos!G16)*11)/factor_trimestre," - ")</f>
        <v>3.5189573459715637</v>
      </c>
      <c r="AN16" s="243">
        <f>IF(ISNUMBER('Resol  Asuntos'!D16/NºAsuntos!G16),'Resol  Asuntos'!D16/NºAsuntos!G16," - ")</f>
        <v>0.12203791469194313</v>
      </c>
      <c r="AO16" s="244">
        <f>IF(ISNUMBER((NºAsuntos!C16+NºAsuntos!E16)/NºAsuntos!G16),(NºAsuntos!C16+NºAsuntos!E16)/NºAsuntos!G16," - ")</f>
        <v>1.2985781990521328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99</v>
      </c>
      <c r="X17" s="225">
        <f>IF(ISNUMBER(Datos!Q17),Datos!Q17," - ")</f>
        <v>3</v>
      </c>
      <c r="Y17" s="333">
        <f t="shared" si="7"/>
        <v>102</v>
      </c>
      <c r="Z17" s="334" t="str">
        <f>IF(ISNUMBER(Datos!CC17),Datos!CC17," - ")</f>
        <v xml:space="preserve"> - </v>
      </c>
      <c r="AA17" s="331">
        <f>IF(ISNUMBER(Datos!L17),Datos!L17,"-")</f>
        <v>22</v>
      </c>
      <c r="AB17" s="333">
        <f>IF(ISNUMBER(Datos!R17),Datos!R17," - ")</f>
        <v>0</v>
      </c>
      <c r="AC17" s="333">
        <f t="shared" si="6"/>
        <v>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1.064516129032258</v>
      </c>
      <c r="AM17" s="259">
        <f>IF(ISNUMBER(((NºAsuntos!I17/NºAsuntos!G17)*11)/factor_trimestre),((NºAsuntos!I17/NºAsuntos!G17)*11)/factor_trimestre," - ")</f>
        <v>2.4444444444444442</v>
      </c>
      <c r="AN17" s="243">
        <f>IF(ISNUMBER('Resol  Asuntos'!D17/NºAsuntos!G17),'Resol  Asuntos'!D17/NºAsuntos!G17," - ")</f>
        <v>0.10101010101010101</v>
      </c>
      <c r="AO17" s="244">
        <f>IF(ISNUMBER((NºAsuntos!C17+NºAsuntos!E17)/NºAsuntos!G17),(NºAsuntos!C17+NºAsuntos!E17)/NºAsuntos!G17," - ")</f>
        <v>1.202020202020202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350</v>
      </c>
      <c r="G18" s="865">
        <f>SUBTOTAL(9,G15:G17)</f>
        <v>358</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943</v>
      </c>
      <c r="X18" s="866">
        <f t="shared" si="11"/>
        <v>40</v>
      </c>
      <c r="Y18" s="867">
        <f t="shared" si="11"/>
        <v>983</v>
      </c>
      <c r="Z18" s="867">
        <f t="shared" si="11"/>
        <v>0</v>
      </c>
      <c r="AA18" s="867">
        <f t="shared" si="11"/>
        <v>292</v>
      </c>
      <c r="AB18" s="867">
        <f t="shared" si="11"/>
        <v>32</v>
      </c>
      <c r="AC18" s="867">
        <f t="shared" si="11"/>
        <v>324</v>
      </c>
      <c r="AD18" s="867">
        <f t="shared" si="11"/>
        <v>0</v>
      </c>
      <c r="AE18" s="871">
        <f t="shared" si="11"/>
        <v>0</v>
      </c>
      <c r="AF18" s="864">
        <f t="shared" si="11"/>
        <v>0</v>
      </c>
      <c r="AG18" s="872">
        <f t="shared" si="11"/>
        <v>0</v>
      </c>
      <c r="AH18" s="869">
        <f t="shared" si="11"/>
        <v>0</v>
      </c>
      <c r="AI18" s="864">
        <f t="shared" si="11"/>
        <v>113</v>
      </c>
      <c r="AJ18" s="866">
        <f t="shared" si="11"/>
        <v>0</v>
      </c>
      <c r="AK18" s="869">
        <f t="shared" si="11"/>
        <v>0</v>
      </c>
      <c r="AL18" s="873">
        <f>IF(ISNUMBER(NºAsuntos!G18/NºAsuntos!E18),NºAsuntos!G18/NºAsuntos!E18," - ")</f>
        <v>1.1003500583430572</v>
      </c>
      <c r="AM18" s="873">
        <f>IF(ISNUMBER(((NºAsuntos!I18/NºAsuntos!G18)*11)/factor_trimestre),((NºAsuntos!I18/NºAsuntos!G18)*11)/factor_trimestre," - ")</f>
        <v>3.4061505832449628</v>
      </c>
      <c r="AN18" s="874">
        <f>IF(ISNUMBER('Resol  Asuntos'!D18/NºAsuntos!G18),'Resol  Asuntos'!D18/NºAsuntos!G18," - ")</f>
        <v>0.11983032873806999</v>
      </c>
      <c r="AO18" s="875">
        <f>IF(ISNUMBER((NºAsuntos!C18+NºAsuntos!E18)/NºAsuntos!G18),(NºAsuntos!C18+NºAsuntos!E18)/NºAsuntos!G18," - ")</f>
        <v>1.2884411452810181</v>
      </c>
      <c r="AP18" s="876" t="str">
        <f t="shared" si="2"/>
        <v xml:space="preserve"> - </v>
      </c>
      <c r="AQ18" s="876">
        <f>IF(ISNUMBER((H18-W18+K18)/(F18)),(H18-W18+K18)/(F18)," - ")</f>
        <v>-2.6942857142857144</v>
      </c>
      <c r="AR18" s="877">
        <f>IF(ISNUMBER((Datos!P18-Datos!Q18)/(Datos!R18-Datos!P18+Datos!Q18)),(Datos!P18-Datos!Q18)/(Datos!R18-Datos!P18+Datos!Q18)," - ")</f>
        <v>-0.2558139534883721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350</v>
      </c>
      <c r="G19" s="820">
        <f t="shared" si="13"/>
        <v>358</v>
      </c>
      <c r="H19" s="819">
        <f t="shared" si="13"/>
        <v>0</v>
      </c>
      <c r="I19" s="821">
        <f t="shared" si="13"/>
        <v>0</v>
      </c>
      <c r="J19" s="821">
        <f t="shared" si="13"/>
        <v>0</v>
      </c>
      <c r="K19" s="880">
        <f t="shared" si="13"/>
        <v>0</v>
      </c>
      <c r="L19" s="821">
        <f t="shared" si="13"/>
        <v>270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948</v>
      </c>
      <c r="X19" s="820">
        <f t="shared" si="14"/>
        <v>180</v>
      </c>
      <c r="Y19" s="827">
        <f t="shared" si="14"/>
        <v>1128</v>
      </c>
      <c r="Z19" s="827">
        <f t="shared" si="14"/>
        <v>0</v>
      </c>
      <c r="AA19" s="827">
        <f t="shared" si="14"/>
        <v>294</v>
      </c>
      <c r="AB19" s="827">
        <f t="shared" si="14"/>
        <v>935</v>
      </c>
      <c r="AC19" s="827">
        <f t="shared" si="14"/>
        <v>326</v>
      </c>
      <c r="AD19" s="827">
        <f t="shared" si="14"/>
        <v>0</v>
      </c>
      <c r="AE19" s="829">
        <f t="shared" si="14"/>
        <v>0</v>
      </c>
      <c r="AF19" s="830">
        <f t="shared" si="14"/>
        <v>0</v>
      </c>
      <c r="AG19" s="831">
        <f t="shared" si="14"/>
        <v>0</v>
      </c>
      <c r="AH19" s="829">
        <f t="shared" si="14"/>
        <v>0</v>
      </c>
      <c r="AI19" s="819">
        <f t="shared" si="14"/>
        <v>458</v>
      </c>
      <c r="AJ19" s="819">
        <f t="shared" si="14"/>
        <v>0</v>
      </c>
      <c r="AK19" s="829">
        <f t="shared" si="14"/>
        <v>0</v>
      </c>
      <c r="AL19" s="883">
        <f>IF(ISNUMBER(NºAsuntos!G19/NºAsuntos!E19),NºAsuntos!G19/NºAsuntos!E19," - ")</f>
        <v>1.0962921970116215</v>
      </c>
      <c r="AM19" s="884">
        <f>IF(ISNUMBER(((NºAsuntos!I19/NºAsuntos!G19)*11)/factor_trimestre),((NºAsuntos!I19/NºAsuntos!G19)*11)/factor_trimestre," - ")</f>
        <v>4.0368500757193342</v>
      </c>
      <c r="AN19" s="884">
        <f>IF(ISNUMBER('Resol  Asuntos'!D19/NºAsuntos!G19),'Resol  Asuntos'!D19/NºAsuntos!G19," - ")</f>
        <v>0.23119636547198386</v>
      </c>
      <c r="AO19" s="885">
        <f>IF(ISNUMBER((NºAsuntos!C19+NºAsuntos!E19)/NºAsuntos!G19),(NºAsuntos!C19+NºAsuntos!E19)/NºAsuntos!G19," - ")</f>
        <v>1.3669863705199394</v>
      </c>
      <c r="AP19" s="886" t="str">
        <f t="shared" si="2"/>
        <v xml:space="preserve"> - </v>
      </c>
      <c r="AQ19" s="887">
        <f>IF(OR(ISNUMBER(FIND("01",Criterios!A8,1)),ISNUMBER(FIND("02",Criterios!A8,1)),ISNUMBER(FIND("03",Criterios!A8,1)),ISNUMBER(FIND("04",Criterios!A8,1))),(I19-W19+K19)/(F19-K19),(H19-W19+K19)/(F19-K19))</f>
        <v>-2.7085714285714286</v>
      </c>
      <c r="AR19" s="888">
        <f>IF(ISNUMBER((Datos!P19-Datos!Q19)/(Datos!R19-Datos!P19+Datos!Q19)),(Datos!P19-Datos!Q19)/(Datos!R19-Datos!P19+Datos!Q19)," - ")</f>
        <v>0.10650887573964497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143.19999999999999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202.07259421636903</v>
      </c>
      <c r="G21" s="252">
        <f>IF(ISNUMBER(STDEV(G8:G18)),STDEV(G8:G18),"-")</f>
        <v>184.7517252964096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472.35389275415105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156.00341876595741</v>
      </c>
      <c r="AJ21" s="251">
        <f t="shared" si="18"/>
        <v>0</v>
      </c>
      <c r="AK21" s="253">
        <f t="shared" si="18"/>
        <v>0</v>
      </c>
      <c r="AL21" s="248">
        <f t="shared" si="18"/>
        <v>0.15465585898512443</v>
      </c>
      <c r="AM21" s="249">
        <f t="shared" si="18"/>
        <v>0.86474119926292958</v>
      </c>
      <c r="AN21" s="249">
        <f t="shared" si="18"/>
        <v>0.13543310810001077</v>
      </c>
      <c r="AO21" s="250">
        <f t="shared" si="18"/>
        <v>9.6207925187988791E-2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lRc+JezpNh9h+P6m4Vp2S6/SdGuiuHQDRvSR0AaJrxyhsF1cO41CqXzhSq1Y/OScbD1g1js8hTQTtySZJ/kPw==" saltValue="72goZT0nzr6ZEkmBHvaJ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VILLAVICIOSA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6</v>
      </c>
      <c r="F10" s="347">
        <f>IF(ISNUMBER((Datos!K10-Datos!U10)/Datos!U10),(Datos!K10-Datos!U10)/Datos!U10," - ")</f>
        <v>4</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f>IF(ISNUMBER((Tasas!D10-Datos!BF10)/Datos!BF10),(Tasas!D10-Datos!BF10)/Datos!BF10," - ")</f>
        <v>-1</v>
      </c>
      <c r="K10" s="350">
        <f>IF(ISNUMBER((Tasas!E10-Datos!BG10)/Datos!BG10),(Tasas!E10-Datos!BG10)/Datos!BG10," - ")</f>
        <v>0.39999999999999991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0.17346938775510204</v>
      </c>
      <c r="I12" s="349">
        <f>IF(ISNUMBER((Tasas!C12-Datos!BE12)/Datos!BE12),(Tasas!C12-Datos!BE12)/Datos!BE12," - ")</f>
        <v>-0.28054496281994368</v>
      </c>
      <c r="J12" s="348">
        <f>IF(ISNUMBER((Tasas!D12-Datos!BF12)/Datos!BF12),(Tasas!D12-Datos!BF12)/Datos!BF12," - ")</f>
        <v>-9.5150723789369507E-2</v>
      </c>
      <c r="K12" s="350">
        <f>IF(ISNUMBER((Tasas!E12-Datos!BG12)/Datos!BG12),(Tasas!E12-Datos!BG12)/Datos!BG12," - ")</f>
        <v>-9.1045006316963939E-2</v>
      </c>
      <c r="M12" t="e">
        <f>IF(Monitorios="SI",Datos!CE12,0)</f>
        <v>#REF!</v>
      </c>
      <c r="N12" t="e">
        <f>IF(Monitorios="SI",Datos!CF12,0)</f>
        <v>#REF!</v>
      </c>
      <c r="O12" t="e">
        <f>IF(Monitorios="SI",Datos!CG12,0)</f>
        <v>#REF!</v>
      </c>
      <c r="P12" t="e">
        <f>IF(Monitorios="SI",Datos!CH12,0)</f>
        <v>#REF!</v>
      </c>
      <c r="Q12">
        <f>IF(J_V="SI",0,Datos!AG12)</f>
        <v>15</v>
      </c>
      <c r="R12">
        <f>IF(J_V="SI",0,Datos!AH12)</f>
        <v>61</v>
      </c>
      <c r="S12">
        <f>IF(J_V="SI",0,Datos!AI12)</f>
        <v>66</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0.16949152542372881</v>
      </c>
      <c r="I13" s="356">
        <f>IF(ISNUMBER((Tasas!C13-Datos!BE13)/Datos!BE13),(Tasas!C13-Datos!BE13)/Datos!BE13," - ")</f>
        <v>-0.27993165777791967</v>
      </c>
      <c r="J13" s="354">
        <f>IF(ISNUMBER((Tasas!D13-Datos!BF13)/Datos!BF13),(Tasas!D13-Datos!BF13)/Datos!BF13," - ")</f>
        <v>-0.10115606936416198</v>
      </c>
      <c r="K13" s="357">
        <f>IF(ISNUMBER((Tasas!E13-Datos!BG13)/Datos!BG13),(Tasas!E13-Datos!BG13)/Datos!BG13," - ")</f>
        <v>-9.0803530867678534E-2</v>
      </c>
      <c r="M13" t="e">
        <f>IF(Monitorios="SI",Datos!CE13,0)</f>
        <v>#REF!</v>
      </c>
      <c r="N13" t="e">
        <f>IF(Monitorios="SI",Datos!CF13,0)</f>
        <v>#REF!</v>
      </c>
      <c r="O13" t="e">
        <f>IF(Monitorios="SI",Datos!CG13,0)</f>
        <v>#REF!</v>
      </c>
      <c r="P13" t="e">
        <f>IF(Monitorios="SI",Datos!CH13,0)</f>
        <v>#REF!</v>
      </c>
      <c r="Q13">
        <f>IF(J_V="SI",0,Datos!AG13)</f>
        <v>15</v>
      </c>
      <c r="R13">
        <f>IF(J_V="SI",0,Datos!AH13)</f>
        <v>61</v>
      </c>
      <c r="S13">
        <f>IF(J_V="SI",0,Datos!AI13)</f>
        <v>66</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6.0606060606060606E-3</v>
      </c>
      <c r="E16" s="347">
        <f>IF(ISNUMBER(
   IF(D_I="SI",(Datos!J16-Datos!T16)/Datos!T16,(Datos!J16+Datos!AD16-(Datos!T16+Datos!AL16))/(Datos!T16+Datos!AL16))
     ),IF(D_I="SI",(Datos!J16-Datos!T16)/Datos!T16,(Datos!J16+Datos!AD16-(Datos!T16+Datos!AL16))/(Datos!T16+Datos!AL16))," - ")</f>
        <v>-2.6751592356687899E-2</v>
      </c>
      <c r="F16" s="347">
        <f>IF(ISNUMBER(
   IF(D_I="SI",(Datos!K16-Datos!U16)/Datos!U16,(Datos!K16+Datos!AE16-(Datos!U16+Datos!AM16))/(Datos!U16+Datos!AM16))
     ),IF(D_I="SI",(Datos!K16-Datos!U16)/Datos!U16,(Datos!K16+Datos!AE16-(Datos!U16+Datos!AM16))/(Datos!U16+Datos!AM16))," - ")</f>
        <v>0.21264367816091953</v>
      </c>
      <c r="G16" s="348">
        <f>IF(ISNUMBER(
   IF(D_I="SI",(Datos!L16-Datos!V16)/Datos!V16,(Datos!L16+Datos!AF16-(Datos!V16+Datos!AN16))/(Datos!V16+Datos!AN16))
     ),IF(D_I="SI",(Datos!L16-Datos!V16)/Datos!V16,(Datos!L16+Datos!AF16-(Datos!V16+Datos!AN16))/(Datos!V16+Datos!AN16))," - ")</f>
        <v>-0.18674698795180722</v>
      </c>
      <c r="H16" s="229">
        <f>IF(ISNUMBER((Datos!M16-Datos!W16)/Datos!W16),(Datos!M16-Datos!W16)/Datos!W16," - ")</f>
        <v>-0.1889763779527559</v>
      </c>
      <c r="I16" s="349">
        <f>IF(ISNUMBER((Tasas!C16-Datos!BE16)/Datos!BE16),(Tasas!C16-Datos!BE16)/Datos!BE16," - ")</f>
        <v>-0.32935533603608752</v>
      </c>
      <c r="J16" s="348">
        <f>IF(ISNUMBER((Tasas!D16-Datos!BF16)/Datos!BF16),(Tasas!D16-Datos!BF16)/Datos!BF16," - ")</f>
        <v>-0.33119379034966606</v>
      </c>
      <c r="K16" s="350">
        <f>IF(ISNUMBER((Tasas!E16-Datos!BG16)/Datos!BG16),(Tasas!E16-Datos!BG16)/Datos!BG16," - ")</f>
        <v>-0.18940768920153866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0.52941176470588236</v>
      </c>
      <c r="E17" s="347">
        <f>IF(ISNUMBER(
   IF(D_I="SI",(Datos!J17-Datos!T17)/Datos!T17,(Datos!J17+Datos!AD17-(Datos!T17+Datos!AL17))/(Datos!T17+Datos!AL17))
     ),IF(D_I="SI",(Datos!J17-Datos!T17)/Datos!T17,(Datos!J17+Datos!AD17-(Datos!T17+Datos!AL17))/(Datos!T17+Datos!AL17))," - ")</f>
        <v>2.197802197802198E-2</v>
      </c>
      <c r="F17" s="347">
        <f>IF(ISNUMBER(
   IF(D_I="SI",(Datos!K17-Datos!U17)/Datos!U17,(Datos!K17+Datos!AE17-(Datos!U17+Datos!AM17))/(Datos!U17+Datos!AM17))
     ),IF(D_I="SI",(Datos!K17-Datos!U17)/Datos!U17,(Datos!K17+Datos!AE17-(Datos!U17+Datos!AM17))/(Datos!U17+Datos!AM17))," - ")</f>
        <v>0.2073170731707317</v>
      </c>
      <c r="G17" s="348">
        <f>IF(ISNUMBER(
   IF(D_I="SI",(Datos!L17-Datos!V17)/Datos!V17,(Datos!L17+Datos!AF17-(Datos!V17+Datos!AN17))/(Datos!V17+Datos!AN17))
     ),IF(D_I="SI",(Datos!L17-Datos!V17)/Datos!V17,(Datos!L17+Datos!AF17-(Datos!V17+Datos!AN17))/(Datos!V17+Datos!AN17))," - ")</f>
        <v>-0.15384615384615385</v>
      </c>
      <c r="H17" s="229">
        <f>IF(ISNUMBER((Datos!M17-Datos!W17)/Datos!W17),(Datos!M17-Datos!W17)/Datos!W17," - ")</f>
        <v>1.5</v>
      </c>
      <c r="I17" s="349">
        <f>IF(ISNUMBER((Tasas!C17-Datos!BE17)/Datos!BE17),(Tasas!C17-Datos!BE17)/Datos!BE17," - ")</f>
        <v>-0.29914529914529919</v>
      </c>
      <c r="J17" s="348">
        <f>IF(ISNUMBER((Tasas!D17-Datos!BF17)/Datos!BF17),(Tasas!D17-Datos!BF17)/Datos!BF17," - ")</f>
        <v>1.0707070707070705</v>
      </c>
      <c r="K17" s="350">
        <f>IF(ISNUMBER((Tasas!E17-Datos!BG17)/Datos!BG17),(Tasas!E17-Datos!BG17)/Datos!BG17," - ")</f>
        <v>-8.7355031799476304E-2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3.1700288184438041E-2</v>
      </c>
      <c r="E18" s="353">
        <f>IF(ISNUMBER(
   IF(D_I="SI",(Datos!J18-Datos!T18)/Datos!T18,(Datos!J18+Datos!AD18-(Datos!T18+Datos!AL18))/(Datos!T18+Datos!AL18))
     ),IF(D_I="SI",(Datos!J18-Datos!T18)/Datos!T18,(Datos!J18+Datos!AD18-(Datos!T18+Datos!AL18))/(Datos!T18+Datos!AL18))," - ")</f>
        <v>-2.1689497716894976E-2</v>
      </c>
      <c r="F18" s="353">
        <f>IF(ISNUMBER(
   IF(D_I="SI",(Datos!K18-Datos!U18)/Datos!U18,(Datos!K18+Datos!AE18-(Datos!U18+Datos!AM18))/(Datos!U18+Datos!AM18))
     ),IF(D_I="SI",(Datos!K18-Datos!U18)/Datos!U18,(Datos!K18+Datos!AE18-(Datos!U18+Datos!AM18))/(Datos!U18+Datos!AM18))," - ")</f>
        <v>0.2120822622107969</v>
      </c>
      <c r="G18" s="354">
        <f>IF(ISNUMBER(
   IF(D_I="SI",(Datos!L18-Datos!V18)/Datos!V18,(Datos!L18+Datos!AF18-(Datos!V18+Datos!AN18))/(Datos!V18+Datos!AN18))
     ),IF(D_I="SI",(Datos!L18-Datos!V18)/Datos!V18,(Datos!L18+Datos!AF18-(Datos!V18+Datos!AN18))/(Datos!V18+Datos!AN18))," - ")</f>
        <v>-0.18435754189944134</v>
      </c>
      <c r="H18" s="355">
        <f>IF(ISNUMBER((Datos!M18-Datos!W18)/Datos!W18),(Datos!M18-Datos!W18)/Datos!W18," - ")</f>
        <v>-0.13740458015267176</v>
      </c>
      <c r="I18" s="356">
        <f>IF(ISNUMBER((Tasas!C18-Datos!BE18)/Datos!BE18),(Tasas!C18-Datos!BE18)/Datos!BE18," - ")</f>
        <v>-0.32707334845998454</v>
      </c>
      <c r="J18" s="354">
        <f>IF(ISNUMBER((Tasas!D18-Datos!BF18)/Datos!BF18),(Tasas!D18-Datos!BF18)/Datos!BF18," - ")</f>
        <v>-0.28833591024260719</v>
      </c>
      <c r="K18" s="357">
        <f>IF(ISNUMBER((Tasas!E18-Datos!BG18)/Datos!BG18),(Tasas!E18-Datos!BG18)/Datos!BG18," - ")</f>
        <v>-0.18037022810414391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5.6271981242672922E-2</v>
      </c>
      <c r="E19" s="362">
        <f>IF(ISNUMBER(
   IF(J_V="SI",(Datos!J19-Datos!T19)/Datos!T19,(Datos!J19+Datos!Z19-(Datos!T19+Datos!AH19))/(Datos!T19+Datos!AH19))
     ),IF(J_V="SI",(Datos!J19-Datos!T19)/Datos!T19,(Datos!J19+Datos!Z19-(Datos!T19+Datos!AH19))/(Datos!T19+Datos!AH19))," - ")</f>
        <v>-2.1126760563380281E-2</v>
      </c>
      <c r="F19" s="362">
        <f>IF(ISNUMBER(
   IF(J_V="SI",(Datos!K19-Datos!U19)/Datos!U19,(Datos!K19+Datos!AA19-(Datos!U19+Datos!AI19))/(Datos!U19+Datos!AI19))
     ),IF(J_V="SI",(Datos!K19-Datos!U19)/Datos!U19,(Datos!K19+Datos!AA19-(Datos!U19+Datos!AI19))/(Datos!U19+Datos!AI19))," - ")</f>
        <v>0.15780245470485096</v>
      </c>
      <c r="G19" s="363">
        <f>IF(ISNUMBER(
   IF(J_V="SI",(Datos!L19-Datos!V19)/Datos!V19,(Datos!L19+Datos!AB19-(Datos!V19+Datos!AJ19))/(Datos!V19+Datos!AJ19))
     ),IF(J_V="SI",(Datos!L19-Datos!V19)/Datos!V19,(Datos!L19+Datos!AB19-(Datos!V19+Datos!AJ19))/(Datos!V19+Datos!AJ19))," - ")</f>
        <v>-0.19311875693673697</v>
      </c>
      <c r="H19" s="364">
        <f>IF(ISNUMBER((Datos!M19-Datos!W19)/Datos!W19),(Datos!M19-Datos!W19)/Datos!W19," - ")</f>
        <v>7.5117370892018781E-2</v>
      </c>
      <c r="I19" s="361">
        <f>IF(ISNUMBER((Tasas!C19-Datos!BE19)/Datos!BE19),(Tasas!C19-Datos!BE19)/Datos!BE19," - ")</f>
        <v>-0.30309247507256787</v>
      </c>
      <c r="J19" s="362">
        <f>IF(ISNUMBER((Tasas!D19-Datos!BF19)/Datos!BF19),(Tasas!D19-Datos!BF19)/Datos!BF19," - ")</f>
        <v>-0.16895592159125136</v>
      </c>
      <c r="K19" s="363">
        <f>IF(ISNUMBER((Tasas!E19-Datos!BG19)/Datos!BG19),(Tasas!E19-Datos!BG19)/Datos!BG19," - ")</f>
        <v>-0.13341471657665191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0.29503404956488233</v>
      </c>
      <c r="E21" s="277">
        <f t="shared" si="1"/>
        <v>3.0044901534341517</v>
      </c>
      <c r="F21" s="277">
        <f t="shared" si="1"/>
        <v>1.894661004754103</v>
      </c>
      <c r="G21" s="278">
        <f t="shared" si="1"/>
        <v>1.8344477544223789E-2</v>
      </c>
      <c r="H21" s="284">
        <f t="shared" si="1"/>
        <v>0.81473127930859024</v>
      </c>
      <c r="I21" s="276">
        <f t="shared" si="1"/>
        <v>2.4109878245800985E-2</v>
      </c>
      <c r="J21" s="277">
        <f t="shared" si="1"/>
        <v>0.67319988952131726</v>
      </c>
      <c r="K21" s="278">
        <f t="shared" si="1"/>
        <v>0.2204791945244606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OB0QJJ++fg+2hbvetF4uXK8n1141KOjifD7XuKiiMGhWmULJsF9eov/ByBx4x+19YHho1/oJTaT4bNIaS95aA==" saltValue="ArGaiwy0ayhZZLnDOYqH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